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Rekapitulace stavby" sheetId="1" r:id="rId1"/>
    <sheet name="1243_01 - Vlastní práce" sheetId="2" r:id="rId2"/>
  </sheets>
  <definedNames>
    <definedName name="_xlnm.Print_Titles" localSheetId="1">'1243_01 - Vlastní práce'!$136:$136</definedName>
    <definedName name="_xlnm.Print_Titles" localSheetId="0">'Rekapitulace stavby'!$85:$85</definedName>
    <definedName name="_xlnm.Print_Area" localSheetId="1">'1243_01 - Vlastní práce'!$C$4:$Q$70,'1243_01 - Vlastní práce'!$C$76:$Q$120,'1243_01 - Vlastní práce'!$C$126:$Q$210</definedName>
    <definedName name="_xlnm.Print_Area" localSheetId="0">'Rekapitulace stavby'!$C$4:$AP$70,'Rekapitulace stavby'!$C$76:$AP$105</definedName>
  </definedNames>
  <calcPr fullCalcOnLoad="1"/>
</workbook>
</file>

<file path=xl/sharedStrings.xml><?xml version="1.0" encoding="utf-8"?>
<sst xmlns="http://schemas.openxmlformats.org/spreadsheetml/2006/main" count="1026" uniqueCount="308">
  <si>
    <t>2012</t>
  </si>
  <si>
    <t>List obsahuje:</t>
  </si>
  <si>
    <t>1.0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</si>
  <si>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</si>
  <si>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</si>
  <si>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</si>
  <si>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</si>
  <si>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</si>
  <si>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</si>
  <si>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</si>
  <si>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</si>
  <si>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</si>
  <si>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</si>
  <si>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Rozpočet
       - ceny u položek
       - množství, pokud má žluté podbarvení
       - a v případe potřeby poznámku (ta je v skrytém sloupci)</t>
  </si>
  <si>
    <t>Stavba:</t>
  </si>
  <si>
    <t>1243 - ZŠ Lidická - oprava klempířských prvků</t>
  </si>
  <si>
    <t>Místo:</t>
  </si>
  <si>
    <t>Hrádek nad Nisou</t>
  </si>
  <si>
    <t>Datum:</t>
  </si>
  <si>
    <t>15.05.2013</t>
  </si>
  <si>
    <t>Objednavatel:</t>
  </si>
  <si>
    <t>IČ:</t>
  </si>
  <si>
    <t>0,1</t>
  </si>
  <si>
    <t>Město Hrádek n.Nis., Horní náměstí 73, 463 34</t>
  </si>
  <si>
    <t>DIČ:</t>
  </si>
  <si>
    <t>Zhotovitel:</t>
  </si>
  <si>
    <t>Vyplň údaj</t>
  </si>
  <si>
    <t>Projektant:</t>
  </si>
  <si>
    <t>STORING spol. s r.o., V Horkách 94/5, 460 07 Lbc 9</t>
  </si>
  <si>
    <t>True</t>
  </si>
  <si>
    <t>Zpracovatel:</t>
  </si>
  <si>
    <t xml:space="preserve"> 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</si>
  <si>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</si>
  <si>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</si>
  <si>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</si>
  <si>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</si>
  <si>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</si>
  <si>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</si>
  <si>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</si>
  <si>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</si>
  <si>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</si>
  <si>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</si>
  <si>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</si>
  <si>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</si>
  <si>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</si>
  <si>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</si>
  <si>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</si>
  <si>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</si>
  <si>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</si>
  <si>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</si>
  <si>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</si>
  <si>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</si>
  <si>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</si>
  <si>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</si>
  <si>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</si>
  <si>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</si>
  <si>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</si>
  <si>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</si>
  <si>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</si>
  <si>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</si>
  <si>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</si>
  <si>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</si>
  <si>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</si>
  <si>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</si>
  <si>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</si>
  <si>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</si>
  <si>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</si>
  <si>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</si>
  <si>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</si>
  <si>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</si>
  <si>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</si>
  <si>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</si>
  <si>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</si>
  <si>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</si>
  <si>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{B3BF7751-7D8D-4114-A78D-E42D60FB2EE5}</t>
  </si>
  <si>
    <t>{00000000-0000-0000-0000-000000000000}</t>
  </si>
  <si>
    <t>1243/01</t>
  </si>
  <si>
    <t>Vlastní práce</t>
  </si>
  <si>
    <t>1</t>
  </si>
  <si>
    <t>{9A9FAFF0-E0B1-45D8-B198-C352B7B6496D}</t>
  </si>
  <si>
    <t>2) Ostatní náklady ze souhrnného listu</t>
  </si>
  <si>
    <t>Procent. zadání
[% nákladů rozpočtu]</t>
  </si>
  <si>
    <t>Zařazení nákladů</t>
  </si>
  <si>
    <t>Projektové práce</t>
  </si>
  <si>
    <t>stavební čast</t>
  </si>
  <si>
    <t>OSTATNENAKLADY</t>
  </si>
  <si>
    <t>Průzkumné práce</t>
  </si>
  <si>
    <t>Stroje, zařízení, inventář</t>
  </si>
  <si>
    <t>Umělecká díla</t>
  </si>
  <si>
    <t>Vedlejší náklady</t>
  </si>
  <si>
    <t>Ostatní náklady</t>
  </si>
  <si>
    <t>H. Rezerva</t>
  </si>
  <si>
    <t>I. Ostatní investice</t>
  </si>
  <si>
    <t>Nehmotný investiční majetek</t>
  </si>
  <si>
    <t>Provozní náklady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</si>
  <si>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</si>
  <si>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</si>
  <si>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</si>
  <si>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</si>
  <si>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</si>
  <si>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</si>
  <si>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Objekt:</t>
  </si>
  <si>
    <t>1243/01 - Vlastní práce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</si>
  <si>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</si>
  <si>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</si>
  <si>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</si>
  <si>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</si>
  <si>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</si>
  <si>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</si>
  <si>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</si>
  <si>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6 - Úpravy povrchů, podlahy a osazování výplní</t>
  </si>
  <si>
    <t xml:space="preserve">    9 - Ostatní konstrukce a práce-bourání</t>
  </si>
  <si>
    <t xml:space="preserve">      94 - Lešení a stavební výtahy</t>
  </si>
  <si>
    <t xml:space="preserve">        94.1 - LEŠENÍ</t>
  </si>
  <si>
    <t xml:space="preserve">        94.2 - PODLÁŽKY</t>
  </si>
  <si>
    <t xml:space="preserve">        94.3 - OCHRANNÉ OHRAZENÍ</t>
  </si>
  <si>
    <t xml:space="preserve">      99 - Přesun hmot</t>
  </si>
  <si>
    <t>PSV - Práce a dodávky PSV</t>
  </si>
  <si>
    <t xml:space="preserve">    712 - Povlakové krytiny</t>
  </si>
  <si>
    <t xml:space="preserve">    762 - Konstrukce tesařské</t>
  </si>
  <si>
    <t xml:space="preserve">    764 - Konstrukce klempířské</t>
  </si>
  <si>
    <t xml:space="preserve">      764-1 - Demontáže</t>
  </si>
  <si>
    <t xml:space="preserve">        764-2 - Nové konstrukce</t>
  </si>
  <si>
    <t xml:space="preserve">      764-3 - Průchodky římsou</t>
  </si>
  <si>
    <t xml:space="preserve">      764-4 - Oprava stávající střešní krytiny - C</t>
  </si>
  <si>
    <t xml:space="preserve">      764-5 - Přesun hmot</t>
  </si>
  <si>
    <t>OST - Oprava stávající střešní krytiny - dle rozhodnutí investora</t>
  </si>
  <si>
    <t xml:space="preserve">    0-743 - Hromosvod</t>
  </si>
  <si>
    <t xml:space="preserve">    0-764 - Klempířské konstrukce</t>
  </si>
  <si>
    <t xml:space="preserve">    0-783 - Natěračské práce</t>
  </si>
  <si>
    <t>VP -   Vícepráce</t>
  </si>
  <si>
    <t>2) Ostatní náklady</t>
  </si>
  <si>
    <t>Zařízení staveniště</t>
  </si>
  <si>
    <t>VRN</t>
  </si>
  <si>
    <t>Mimostav. doprava</t>
  </si>
  <si>
    <t>Územní vlivy</t>
  </si>
  <si>
    <t>Provozní vlivy</t>
  </si>
  <si>
    <t>Ostatní</t>
  </si>
  <si>
    <t>Kompletační činnosť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</si>
  <si>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</si>
  <si>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</si>
  <si>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</si>
  <si>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</si>
  <si>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</si>
  <si>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</si>
  <si>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</si>
  <si>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</si>
  <si>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</si>
  <si>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</si>
  <si>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</si>
  <si>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</si>
  <si>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</si>
  <si>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</si>
  <si>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</si>
  <si>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</si>
  <si>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</si>
  <si>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K</t>
  </si>
  <si>
    <t>622335113</t>
  </si>
  <si>
    <t>Oprava poškozené fasády v římse  - svod deš´tové vody</t>
  </si>
  <si>
    <t>m2</t>
  </si>
  <si>
    <t>4</t>
  </si>
  <si>
    <t>3</t>
  </si>
  <si>
    <t>941112112</t>
  </si>
  <si>
    <t>Montáž lešení řadového trubkového lehkého bez podlah zatížení do 200 kg/m2 š do 0,9 m v do 25 m</t>
  </si>
  <si>
    <t>941112212</t>
  </si>
  <si>
    <t>Příplatek k lešení řadovému trubkovému lehkému bez podlah š 0,9 m v 25m za první a ZKD den použití - 60 dní</t>
  </si>
  <si>
    <t>941112812</t>
  </si>
  <si>
    <t>Demontáž lešení řadového trubkového lehkého bez podlah zatížení do 200 kg/m2 š do 0,9 m v do 25 m</t>
  </si>
  <si>
    <t>5</t>
  </si>
  <si>
    <t>949211111</t>
  </si>
  <si>
    <t>Montáž lešeňové podlahy s příčníky pro trubková lešení v do 10 m</t>
  </si>
  <si>
    <t>6</t>
  </si>
  <si>
    <t>949211112</t>
  </si>
  <si>
    <t>Montáž lešeňové podlahy s příčníky pro trubková lešení v do 25 m</t>
  </si>
  <si>
    <t>7</t>
  </si>
  <si>
    <t>949211211</t>
  </si>
  <si>
    <t>Příplatek k lešeňové podlaze s příčníky pro trubková lešení za první a ZKD den použití 60 dní</t>
  </si>
  <si>
    <t>8</t>
  </si>
  <si>
    <t>949211811</t>
  </si>
  <si>
    <t>Demontáž lešeňové podlahy s příčníky pro trubková lešení v do 10 m</t>
  </si>
  <si>
    <t>9</t>
  </si>
  <si>
    <t>949211812</t>
  </si>
  <si>
    <t>Demontáž lešeňové podlahy s příčníky pro trubková lešení v do 25 m</t>
  </si>
  <si>
    <t>10</t>
  </si>
  <si>
    <t>944211111</t>
  </si>
  <si>
    <t>Montáž ochranného ohrazení trubkového na vnějších stranách objektů lhl. pádu do 4,50 m</t>
  </si>
  <si>
    <t>m</t>
  </si>
  <si>
    <t>11</t>
  </si>
  <si>
    <t>944311112</t>
  </si>
  <si>
    <t>Montáž záchytného ohrazení trubkového na vnějších stranách objektů hl pádu do 14,00 m</t>
  </si>
  <si>
    <t>12</t>
  </si>
  <si>
    <t>944211211</t>
  </si>
  <si>
    <t>Příplatek k ochrannému ohrazení  na vnějších stranách objektů za první a ZKD den použití - 60 dní</t>
  </si>
  <si>
    <t>13</t>
  </si>
  <si>
    <t>944211212</t>
  </si>
  <si>
    <t>Příplatek k ochrannému ohrazení na vnějších stranách objektů za první a ZKD den použití - 60 dní</t>
  </si>
  <si>
    <t>14</t>
  </si>
  <si>
    <t>944311811</t>
  </si>
  <si>
    <t>Demontáž záchytného ohrazení trubkového na vnějších stranách objektů hl pádu do 4,50 m</t>
  </si>
  <si>
    <t>944311812</t>
  </si>
  <si>
    <t>Demontáž záchytného ohrazení trubkového na vnějších stranách objektů hl pádu 14,00  m</t>
  </si>
  <si>
    <t>16</t>
  </si>
  <si>
    <t>944311813</t>
  </si>
  <si>
    <t>Provizorní zajištění pracovníků na střeše v průběhu montáže -mtž. + dmtž systému , zakrytí kotevních míst</t>
  </si>
  <si>
    <t>17</t>
  </si>
  <si>
    <t>998011003</t>
  </si>
  <si>
    <t>Přesun hmot pro budovy zděné v do 24 m</t>
  </si>
  <si>
    <t>t</t>
  </si>
  <si>
    <t>18</t>
  </si>
  <si>
    <t>712-36308</t>
  </si>
  <si>
    <t>Přilepení protiledového pásu Armourbase Stick</t>
  </si>
  <si>
    <t>19</t>
  </si>
  <si>
    <t>M</t>
  </si>
  <si>
    <t>628-52015</t>
  </si>
  <si>
    <t>pás protiledový - IKO Armourbase Stick</t>
  </si>
  <si>
    <t>32</t>
  </si>
  <si>
    <t>20</t>
  </si>
  <si>
    <t>998712203</t>
  </si>
  <si>
    <t>Přesun hmot procentní pro krytiny povlakové v objektech v do 24 m</t>
  </si>
  <si>
    <t>%</t>
  </si>
  <si>
    <t>762343913</t>
  </si>
  <si>
    <t>Částečná výměna bednění střechy v místě provádění nových konstrukcí prkna tl. 24 mm  - D + M</t>
  </si>
  <si>
    <t>22</t>
  </si>
  <si>
    <t>764355810</t>
  </si>
  <si>
    <t>Demontáž žlab nástřešní oblý rš 660 mm do 30° - A</t>
  </si>
  <si>
    <t>23</t>
  </si>
  <si>
    <t>764321850</t>
  </si>
  <si>
    <t>Demontáž oplechování říms pod nadřímsovým žlabem rš 900 mm do 30° - A</t>
  </si>
  <si>
    <t>24</t>
  </si>
  <si>
    <t>764312822</t>
  </si>
  <si>
    <t>Demontáž krytina hladká tabule 2000x670 mm sklon do 30° plocha přes 25 m2 - B</t>
  </si>
  <si>
    <t>25</t>
  </si>
  <si>
    <t>764454802</t>
  </si>
  <si>
    <t>Demontáž trouby kruhové průměr 120 mm</t>
  </si>
  <si>
    <t>26</t>
  </si>
  <si>
    <t>764315951</t>
  </si>
  <si>
    <t>Oprava Pz krytin - zvednutí do 150 mm do 30°</t>
  </si>
  <si>
    <t>27</t>
  </si>
  <si>
    <t>764454804</t>
  </si>
  <si>
    <t>Demontáž trouby kruhové průměr 200 mm - stávající průchodka</t>
  </si>
  <si>
    <t>28</t>
  </si>
  <si>
    <t>764353206</t>
  </si>
  <si>
    <t>Žlab Pz nadřímsový kulatý  rš 1000 mm - K 01</t>
  </si>
  <si>
    <t>29</t>
  </si>
  <si>
    <t>764311221</t>
  </si>
  <si>
    <t>Oplechování okapové hrany střechy - K 02</t>
  </si>
  <si>
    <t>30</t>
  </si>
  <si>
    <t>764454203</t>
  </si>
  <si>
    <t xml:space="preserve">Odpadní trouby Pz kruhové D 120 mm - K 03 </t>
  </si>
  <si>
    <t>31</t>
  </si>
  <si>
    <t>764762131</t>
  </si>
  <si>
    <t>Montáž a dodávka nástřešního žlabu 1500 x 1200 mm v 1000 mm - K 04</t>
  </si>
  <si>
    <t>kus</t>
  </si>
  <si>
    <t>764454206</t>
  </si>
  <si>
    <t>Odpadní trouby Pz kruhové D 120 mm - K 05</t>
  </si>
  <si>
    <t>33</t>
  </si>
  <si>
    <t>764453221</t>
  </si>
  <si>
    <t>D + M  Pz žlabového háku pro nástřešní žlab r.š. 1000 mm - K 06</t>
  </si>
  <si>
    <t>34</t>
  </si>
  <si>
    <t>764454205</t>
  </si>
  <si>
    <t>Odpadní trouby Pz kruhové D 200 mm - průchod římsou 2x  ( v. 4,62 m a 14,20 m )</t>
  </si>
  <si>
    <t>35</t>
  </si>
  <si>
    <t>553501750</t>
  </si>
  <si>
    <t xml:space="preserve">objímka - zajištění těsnosti průchodu svodu přes římsu  </t>
  </si>
  <si>
    <t>36</t>
  </si>
  <si>
    <t>764-31292</t>
  </si>
  <si>
    <t>Oprava stávající Pz krytiny  sklonu do 30° ( dotažení hřebů a vrutů, přitažení hřebene nároží a úžlabí)</t>
  </si>
  <si>
    <t>37</t>
  </si>
  <si>
    <t>998764203</t>
  </si>
  <si>
    <t>Přesun hmot procentní pro konstrukce klempířské v objektech v do 24 m - pl</t>
  </si>
  <si>
    <t>38</t>
  </si>
  <si>
    <t>743621110</t>
  </si>
  <si>
    <t>Oprava nástřešní části hromosvodu ( revize, demontáž, montáž + revize)</t>
  </si>
  <si>
    <t>kpl</t>
  </si>
  <si>
    <t>39</t>
  </si>
  <si>
    <t>764430840</t>
  </si>
  <si>
    <t xml:space="preserve">Demontáž oplechování komínů a výlezů na střechu </t>
  </si>
  <si>
    <t>40</t>
  </si>
  <si>
    <t>764331250</t>
  </si>
  <si>
    <t>Lemování Pz plech zdí tvrdá krytina rš 500 mm</t>
  </si>
  <si>
    <t>41</t>
  </si>
  <si>
    <t>764453833</t>
  </si>
  <si>
    <t>Demontáž odvětrávacích hlavic</t>
  </si>
  <si>
    <t>42</t>
  </si>
  <si>
    <t>764346220</t>
  </si>
  <si>
    <t>Ventilační nástavec Pz hladká krytina D 100 mm</t>
  </si>
  <si>
    <t>43</t>
  </si>
  <si>
    <t>629995101</t>
  </si>
  <si>
    <t>Očištění vnějších ploch tlakovou vodou</t>
  </si>
  <si>
    <t>44</t>
  </si>
  <si>
    <t>783903812</t>
  </si>
  <si>
    <t>Odmaštění nátěrů saponáty</t>
  </si>
  <si>
    <t>45</t>
  </si>
  <si>
    <t>783595122</t>
  </si>
  <si>
    <t>Nátěry klempířských kcí barva standardní mat dvojnásobné a základní antikorozní</t>
  </si>
  <si>
    <t>46</t>
  </si>
  <si>
    <t>246280620</t>
  </si>
  <si>
    <t>barva akrylátová mat ETERNAL na plechové a pozinkované krytiny</t>
  </si>
  <si>
    <t>kg</t>
  </si>
  <si>
    <t>VP - Vícepráce</t>
  </si>
  <si>
    <t>PN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</si>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</sst>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2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2"/>
    </font>
    <font>
      <b/>
      <sz val="12"/>
      <color indexed="55"/>
      <name val="Trebuchet MS"/>
      <family val="2"/>
    </font>
    <font>
      <b/>
      <sz val="8"/>
      <color indexed="55"/>
      <name val="Trebuchet MS"/>
      <family val="2"/>
    </font>
    <font>
      <b/>
      <sz val="12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sz val="10"/>
      <color indexed="63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10"/>
      <color indexed="56"/>
      <name val="Trebuchet MS"/>
      <family val="2"/>
    </font>
    <font>
      <sz val="12"/>
      <color indexed="56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8"/>
      <color indexed="56"/>
      <name val="Trebuchet MS"/>
      <family val="2"/>
    </font>
    <font>
      <i/>
      <sz val="8"/>
      <name val="Trebuchet MS"/>
      <family val="2"/>
    </font>
    <font>
      <i/>
      <sz val="8"/>
      <color indexed="56"/>
      <name val="Trebuchet MS"/>
      <family val="2"/>
    </font>
    <font>
      <i/>
      <sz val="8"/>
      <color indexed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3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34" borderId="0" xfId="0" applyFont="1" applyFill="1" applyAlignment="1">
      <alignment horizontal="left" vertical="center"/>
    </xf>
    <xf numFmtId="49" fontId="9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10" fillId="0" borderId="0" xfId="0" applyFont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2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165" fontId="13" fillId="0" borderId="0" xfId="0" applyNumberFormat="1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14" fillId="0" borderId="19" xfId="0" applyFont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top"/>
      <protection/>
    </xf>
    <xf numFmtId="0" fontId="0" fillId="0" borderId="23" xfId="0" applyBorder="1" applyAlignment="1" applyProtection="1">
      <alignment horizontal="left" vertical="top"/>
      <protection/>
    </xf>
    <xf numFmtId="0" fontId="15" fillId="0" borderId="24" xfId="0" applyFont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 horizontal="left" vertical="center"/>
      <protection/>
    </xf>
    <xf numFmtId="0" fontId="15" fillId="0" borderId="25" xfId="0" applyFont="1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9" fillId="0" borderId="0" xfId="0" applyNumberFormat="1" applyFont="1" applyAlignment="1" applyProtection="1">
      <alignment horizontal="left" vertical="top"/>
      <protection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31" xfId="0" applyFont="1" applyBorder="1" applyAlignment="1" applyProtection="1">
      <alignment horizontal="center" vertical="center" wrapText="1"/>
      <protection/>
    </xf>
    <xf numFmtId="0" fontId="8" fillId="0" borderId="32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19" xfId="0" applyBorder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164" fontId="17" fillId="0" borderId="22" xfId="0" applyNumberFormat="1" applyFont="1" applyBorder="1" applyAlignment="1" applyProtection="1">
      <alignment horizontal="right" vertical="center"/>
      <protection/>
    </xf>
    <xf numFmtId="164" fontId="17" fillId="0" borderId="0" xfId="0" applyNumberFormat="1" applyFont="1" applyAlignment="1" applyProtection="1">
      <alignment horizontal="right" vertical="center"/>
      <protection/>
    </xf>
    <xf numFmtId="167" fontId="17" fillId="0" borderId="0" xfId="0" applyNumberFormat="1" applyFont="1" applyAlignment="1" applyProtection="1">
      <alignment horizontal="right" vertical="center"/>
      <protection/>
    </xf>
    <xf numFmtId="164" fontId="17" fillId="0" borderId="23" xfId="0" applyNumberFormat="1" applyFont="1" applyBorder="1" applyAlignment="1" applyProtection="1">
      <alignment horizontal="right" vertical="center"/>
      <protection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left" vertical="center"/>
      <protection/>
    </xf>
    <xf numFmtId="164" fontId="23" fillId="0" borderId="24" xfId="0" applyNumberFormat="1" applyFont="1" applyBorder="1" applyAlignment="1" applyProtection="1">
      <alignment horizontal="right" vertical="center"/>
      <protection/>
    </xf>
    <xf numFmtId="164" fontId="23" fillId="0" borderId="25" xfId="0" applyNumberFormat="1" applyFont="1" applyBorder="1" applyAlignment="1" applyProtection="1">
      <alignment horizontal="right" vertical="center"/>
      <protection/>
    </xf>
    <xf numFmtId="167" fontId="23" fillId="0" borderId="25" xfId="0" applyNumberFormat="1" applyFont="1" applyBorder="1" applyAlignment="1" applyProtection="1">
      <alignment horizontal="right" vertical="center"/>
      <protection/>
    </xf>
    <xf numFmtId="164" fontId="23" fillId="0" borderId="26" xfId="0" applyNumberFormat="1" applyFont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 horizontal="left" vertical="center"/>
      <protection/>
    </xf>
    <xf numFmtId="165" fontId="15" fillId="34" borderId="19" xfId="0" applyNumberFormat="1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164" fontId="15" fillId="0" borderId="21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165" fontId="15" fillId="34" borderId="22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164" fontId="15" fillId="0" borderId="23" xfId="0" applyNumberFormat="1" applyFont="1" applyBorder="1" applyAlignment="1" applyProtection="1">
      <alignment horizontal="right" vertical="center"/>
      <protection/>
    </xf>
    <xf numFmtId="165" fontId="15" fillId="34" borderId="24" xfId="0" applyNumberFormat="1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164" fontId="15" fillId="0" borderId="26" xfId="0" applyNumberFormat="1" applyFont="1" applyBorder="1" applyAlignment="1" applyProtection="1">
      <alignment horizontal="right" vertical="center"/>
      <protection/>
    </xf>
    <xf numFmtId="0" fontId="18" fillId="35" borderId="0" xfId="0" applyFont="1" applyFill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5" fillId="0" borderId="13" xfId="0" applyFont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14" xfId="0" applyFont="1" applyBorder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24" fillId="0" borderId="13" xfId="0" applyFont="1" applyBorder="1" applyAlignment="1" applyProtection="1">
      <alignment horizontal="left" vertical="center"/>
      <protection/>
    </xf>
    <xf numFmtId="0" fontId="24" fillId="0" borderId="14" xfId="0" applyFont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8" fillId="0" borderId="33" xfId="0" applyFont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left" vertical="center"/>
      <protection/>
    </xf>
    <xf numFmtId="0" fontId="15" fillId="0" borderId="34" xfId="0" applyFon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left" vertical="center"/>
      <protection/>
    </xf>
    <xf numFmtId="0" fontId="15" fillId="0" borderId="35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9" fillId="35" borderId="30" xfId="0" applyFont="1" applyFill="1" applyBorder="1" applyAlignment="1" applyProtection="1">
      <alignment horizontal="center" vertical="center" wrapText="1"/>
      <protection/>
    </xf>
    <xf numFmtId="0" fontId="9" fillId="35" borderId="31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167" fontId="26" fillId="0" borderId="20" xfId="0" applyNumberFormat="1" applyFont="1" applyBorder="1" applyAlignment="1" applyProtection="1">
      <alignment horizontal="right"/>
      <protection/>
    </xf>
    <xf numFmtId="167" fontId="26" fillId="0" borderId="21" xfId="0" applyNumberFormat="1" applyFont="1" applyBorder="1" applyAlignment="1" applyProtection="1">
      <alignment horizontal="right"/>
      <protection/>
    </xf>
    <xf numFmtId="164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8" fillId="0" borderId="13" xfId="0" applyFont="1" applyBorder="1" applyAlignment="1" applyProtection="1">
      <alignment horizontal="left"/>
      <protection/>
    </xf>
    <xf numFmtId="0" fontId="28" fillId="0" borderId="0" xfId="0" applyFont="1" applyAlignment="1" applyProtection="1">
      <alignment horizontal="left"/>
      <protection/>
    </xf>
    <xf numFmtId="0" fontId="25" fillId="0" borderId="0" xfId="0" applyFont="1" applyAlignment="1" applyProtection="1">
      <alignment horizontal="left"/>
      <protection/>
    </xf>
    <xf numFmtId="0" fontId="28" fillId="0" borderId="14" xfId="0" applyFont="1" applyBorder="1" applyAlignment="1" applyProtection="1">
      <alignment horizontal="left"/>
      <protection/>
    </xf>
    <xf numFmtId="0" fontId="28" fillId="0" borderId="22" xfId="0" applyFont="1" applyBorder="1" applyAlignment="1" applyProtection="1">
      <alignment horizontal="left"/>
      <protection/>
    </xf>
    <xf numFmtId="167" fontId="28" fillId="0" borderId="0" xfId="0" applyNumberFormat="1" applyFont="1" applyAlignment="1" applyProtection="1">
      <alignment horizontal="right"/>
      <protection/>
    </xf>
    <xf numFmtId="167" fontId="28" fillId="0" borderId="23" xfId="0" applyNumberFormat="1" applyFont="1" applyBorder="1" applyAlignment="1" applyProtection="1">
      <alignment horizontal="right"/>
      <protection/>
    </xf>
    <xf numFmtId="0" fontId="28" fillId="0" borderId="0" xfId="0" applyFont="1" applyAlignment="1">
      <alignment horizontal="left"/>
    </xf>
    <xf numFmtId="164" fontId="28" fillId="0" borderId="0" xfId="0" applyNumberFormat="1" applyFont="1" applyAlignment="1">
      <alignment horizontal="right" vertical="center"/>
    </xf>
    <xf numFmtId="0" fontId="24" fillId="0" borderId="0" xfId="0" applyFont="1" applyAlignment="1" applyProtection="1">
      <alignment horizontal="left"/>
      <protection/>
    </xf>
    <xf numFmtId="0" fontId="0" fillId="0" borderId="33" xfId="0" applyFont="1" applyBorder="1" applyAlignment="1" applyProtection="1">
      <alignment horizontal="center" vertical="center"/>
      <protection/>
    </xf>
    <xf numFmtId="49" fontId="0" fillId="0" borderId="33" xfId="0" applyNumberFormat="1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168" fontId="0" fillId="34" borderId="33" xfId="0" applyNumberFormat="1" applyFont="1" applyFill="1" applyBorder="1" applyAlignment="1">
      <alignment horizontal="right" vertical="center"/>
    </xf>
    <xf numFmtId="0" fontId="13" fillId="34" borderId="33" xfId="0" applyFont="1" applyFill="1" applyBorder="1" applyAlignment="1">
      <alignment horizontal="left" vertical="center"/>
    </xf>
    <xf numFmtId="167" fontId="13" fillId="0" borderId="0" xfId="0" applyNumberFormat="1" applyFont="1" applyAlignment="1" applyProtection="1">
      <alignment horizontal="right" vertical="center"/>
      <protection/>
    </xf>
    <xf numFmtId="167" fontId="13" fillId="0" borderId="23" xfId="0" applyNumberFormat="1" applyFont="1" applyBorder="1" applyAlignment="1" applyProtection="1">
      <alignment horizontal="right" vertical="center"/>
      <protection/>
    </xf>
    <xf numFmtId="0" fontId="29" fillId="0" borderId="0" xfId="0" applyFont="1" applyAlignment="1">
      <alignment horizontal="left"/>
    </xf>
    <xf numFmtId="0" fontId="30" fillId="0" borderId="13" xfId="0" applyFont="1" applyBorder="1" applyAlignment="1" applyProtection="1">
      <alignment horizontal="left"/>
      <protection/>
    </xf>
    <xf numFmtId="0" fontId="30" fillId="0" borderId="0" xfId="0" applyFont="1" applyAlignment="1" applyProtection="1">
      <alignment horizontal="left"/>
      <protection/>
    </xf>
    <xf numFmtId="0" fontId="30" fillId="0" borderId="14" xfId="0" applyFont="1" applyBorder="1" applyAlignment="1" applyProtection="1">
      <alignment horizontal="left"/>
      <protection/>
    </xf>
    <xf numFmtId="0" fontId="30" fillId="0" borderId="22" xfId="0" applyFont="1" applyBorder="1" applyAlignment="1" applyProtection="1">
      <alignment horizontal="left"/>
      <protection/>
    </xf>
    <xf numFmtId="167" fontId="30" fillId="0" borderId="0" xfId="0" applyNumberFormat="1" applyFont="1" applyAlignment="1" applyProtection="1">
      <alignment horizontal="right"/>
      <protection/>
    </xf>
    <xf numFmtId="167" fontId="30" fillId="0" borderId="23" xfId="0" applyNumberFormat="1" applyFont="1" applyBorder="1" applyAlignment="1" applyProtection="1">
      <alignment horizontal="right"/>
      <protection/>
    </xf>
    <xf numFmtId="0" fontId="30" fillId="0" borderId="0" xfId="0" applyFont="1" applyAlignment="1">
      <alignment horizontal="left"/>
    </xf>
    <xf numFmtId="164" fontId="30" fillId="0" borderId="0" xfId="0" applyNumberFormat="1" applyFont="1" applyAlignment="1">
      <alignment horizontal="right" vertical="center"/>
    </xf>
    <xf numFmtId="0" fontId="31" fillId="0" borderId="33" xfId="0" applyFont="1" applyBorder="1" applyAlignment="1" applyProtection="1">
      <alignment horizontal="center" vertical="center"/>
      <protection/>
    </xf>
    <xf numFmtId="49" fontId="31" fillId="0" borderId="33" xfId="0" applyNumberFormat="1" applyFont="1" applyBorder="1" applyAlignment="1" applyProtection="1">
      <alignment horizontal="left" vertical="center" wrapText="1"/>
      <protection/>
    </xf>
    <xf numFmtId="0" fontId="31" fillId="0" borderId="33" xfId="0" applyFont="1" applyBorder="1" applyAlignment="1" applyProtection="1">
      <alignment horizontal="center" vertical="center" wrapText="1"/>
      <protection/>
    </xf>
    <xf numFmtId="168" fontId="31" fillId="34" borderId="33" xfId="0" applyNumberFormat="1" applyFont="1" applyFill="1" applyBorder="1" applyAlignment="1">
      <alignment horizontal="right" vertical="center"/>
    </xf>
    <xf numFmtId="0" fontId="0" fillId="34" borderId="33" xfId="0" applyFont="1" applyFill="1" applyBorder="1" applyAlignment="1">
      <alignment horizontal="center" vertical="center"/>
    </xf>
    <xf numFmtId="49" fontId="0" fillId="34" borderId="33" xfId="0" applyNumberFormat="1" applyFont="1" applyFill="1" applyBorder="1" applyAlignment="1">
      <alignment horizontal="left" vertical="center" wrapText="1"/>
    </xf>
    <xf numFmtId="0" fontId="0" fillId="34" borderId="33" xfId="0" applyFont="1" applyFill="1" applyBorder="1" applyAlignment="1">
      <alignment horizontal="center" vertical="center" wrapText="1"/>
    </xf>
    <xf numFmtId="0" fontId="13" fillId="34" borderId="33" xfId="0" applyFont="1" applyFill="1" applyBorder="1" applyAlignment="1">
      <alignment horizontal="center" vertical="center"/>
    </xf>
    <xf numFmtId="0" fontId="70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1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168" fontId="0" fillId="34" borderId="33" xfId="0" applyNumberFormat="1" applyFont="1" applyFill="1" applyBorder="1" applyAlignment="1" applyProtection="1">
      <alignment horizontal="right" vertical="center"/>
      <protection locked="0"/>
    </xf>
    <xf numFmtId="164" fontId="18" fillId="35" borderId="0" xfId="0" applyNumberFormat="1" applyFont="1" applyFill="1" applyAlignment="1" applyProtection="1">
      <alignment horizontal="righ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3" fillId="35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24" fillId="34" borderId="0" xfId="0" applyFont="1" applyFill="1" applyAlignment="1">
      <alignment horizontal="left" vertical="center"/>
    </xf>
    <xf numFmtId="0" fontId="0" fillId="0" borderId="0" xfId="0" applyAlignment="1" applyProtection="1">
      <alignment horizontal="left" vertical="center"/>
      <protection/>
    </xf>
    <xf numFmtId="164" fontId="24" fillId="34" borderId="0" xfId="0" applyNumberFormat="1" applyFont="1" applyFill="1" applyAlignment="1">
      <alignment horizontal="right" vertical="center"/>
    </xf>
    <xf numFmtId="164" fontId="24" fillId="0" borderId="0" xfId="0" applyNumberFormat="1" applyFont="1" applyAlignment="1" applyProtection="1">
      <alignment horizontal="right" vertical="center"/>
      <protection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center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0" fillId="35" borderId="36" xfId="0" applyFill="1" applyBorder="1" applyAlignment="1" applyProtection="1">
      <alignment horizontal="left" vertical="center"/>
      <protection/>
    </xf>
    <xf numFmtId="164" fontId="22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left" vertical="center"/>
      <protection/>
    </xf>
    <xf numFmtId="0" fontId="7" fillId="35" borderId="18" xfId="0" applyFont="1" applyFill="1" applyBorder="1" applyAlignment="1" applyProtection="1">
      <alignment horizontal="left" vertical="center"/>
      <protection/>
    </xf>
    <xf numFmtId="164" fontId="7" fillId="35" borderId="18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2" xfId="0" applyBorder="1" applyAlignment="1" applyProtection="1">
      <alignment horizontal="left" vertical="center"/>
      <protection/>
    </xf>
    <xf numFmtId="165" fontId="13" fillId="0" borderId="0" xfId="0" applyNumberFormat="1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left" vertical="center"/>
      <protection/>
    </xf>
    <xf numFmtId="164" fontId="6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Alignment="1">
      <alignment horizontal="center" vertical="center"/>
    </xf>
    <xf numFmtId="0" fontId="0" fillId="0" borderId="0" xfId="0" applyAlignment="1" applyProtection="1">
      <alignment horizontal="left" vertical="top"/>
      <protection/>
    </xf>
    <xf numFmtId="0" fontId="6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49" fontId="9" fillId="34" borderId="0" xfId="0" applyNumberFormat="1" applyFont="1" applyFill="1" applyAlignment="1">
      <alignment horizontal="left" vertical="top"/>
    </xf>
    <xf numFmtId="164" fontId="11" fillId="0" borderId="0" xfId="0" applyNumberFormat="1" applyFont="1" applyAlignment="1" applyProtection="1">
      <alignment horizontal="right" vertical="center"/>
      <protection/>
    </xf>
    <xf numFmtId="164" fontId="12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71" fillId="33" borderId="0" xfId="36" applyFont="1" applyFill="1" applyAlignment="1" applyProtection="1">
      <alignment horizontal="center" vertical="center"/>
      <protection/>
    </xf>
    <xf numFmtId="164" fontId="24" fillId="0" borderId="0" xfId="0" applyNumberFormat="1" applyFont="1" applyAlignment="1" applyProtection="1">
      <alignment horizontal="right"/>
      <protection/>
    </xf>
    <xf numFmtId="0" fontId="28" fillId="0" borderId="0" xfId="0" applyFont="1" applyAlignment="1" applyProtection="1">
      <alignment horizontal="left"/>
      <protection/>
    </xf>
    <xf numFmtId="164" fontId="25" fillId="0" borderId="0" xfId="0" applyNumberFormat="1" applyFont="1" applyAlignment="1" applyProtection="1">
      <alignment horizontal="right"/>
      <protection/>
    </xf>
    <xf numFmtId="0" fontId="0" fillId="0" borderId="33" xfId="0" applyFont="1" applyBorder="1" applyAlignment="1" applyProtection="1">
      <alignment horizontal="left" vertical="center" wrapText="1"/>
      <protection/>
    </xf>
    <xf numFmtId="0" fontId="0" fillId="0" borderId="33" xfId="0" applyBorder="1" applyAlignment="1" applyProtection="1">
      <alignment horizontal="left" vertical="center"/>
      <protection/>
    </xf>
    <xf numFmtId="164" fontId="0" fillId="34" borderId="33" xfId="0" applyNumberFormat="1" applyFont="1" applyFill="1" applyBorder="1" applyAlignment="1">
      <alignment horizontal="right" vertical="center"/>
    </xf>
    <xf numFmtId="164" fontId="0" fillId="0" borderId="33" xfId="0" applyNumberFormat="1" applyFont="1" applyBorder="1" applyAlignment="1" applyProtection="1">
      <alignment horizontal="right" vertical="center"/>
      <protection/>
    </xf>
    <xf numFmtId="0" fontId="0" fillId="34" borderId="33" xfId="0" applyFont="1" applyFill="1" applyBorder="1" applyAlignment="1">
      <alignment horizontal="left" vertical="center" wrapText="1"/>
    </xf>
    <xf numFmtId="0" fontId="0" fillId="34" borderId="33" xfId="0" applyFill="1" applyBorder="1" applyAlignment="1">
      <alignment horizontal="left" vertical="center"/>
    </xf>
    <xf numFmtId="164" fontId="18" fillId="0" borderId="0" xfId="0" applyNumberFormat="1" applyFont="1" applyAlignment="1" applyProtection="1">
      <alignment horizontal="right"/>
      <protection/>
    </xf>
    <xf numFmtId="164" fontId="30" fillId="0" borderId="0" xfId="0" applyNumberFormat="1" applyFont="1" applyAlignment="1" applyProtection="1">
      <alignment horizontal="right"/>
      <protection/>
    </xf>
    <xf numFmtId="0" fontId="30" fillId="0" borderId="0" xfId="0" applyFont="1" applyAlignment="1" applyProtection="1">
      <alignment horizontal="left"/>
      <protection/>
    </xf>
    <xf numFmtId="0" fontId="31" fillId="0" borderId="33" xfId="0" applyFont="1" applyBorder="1" applyAlignment="1" applyProtection="1">
      <alignment horizontal="left" vertical="center" wrapText="1"/>
      <protection/>
    </xf>
    <xf numFmtId="0" fontId="31" fillId="0" borderId="33" xfId="0" applyFont="1" applyBorder="1" applyAlignment="1" applyProtection="1">
      <alignment horizontal="left" vertical="center"/>
      <protection/>
    </xf>
    <xf numFmtId="164" fontId="31" fillId="34" borderId="33" xfId="0" applyNumberFormat="1" applyFont="1" applyFill="1" applyBorder="1" applyAlignment="1">
      <alignment horizontal="right" vertical="center"/>
    </xf>
    <xf numFmtId="164" fontId="31" fillId="0" borderId="33" xfId="0" applyNumberFormat="1" applyFont="1" applyBorder="1" applyAlignment="1" applyProtection="1">
      <alignment horizontal="right" vertical="center"/>
      <protection/>
    </xf>
    <xf numFmtId="166" fontId="9" fillId="0" borderId="0" xfId="0" applyNumberFormat="1" applyFont="1" applyAlignment="1" applyProtection="1">
      <alignment horizontal="left" vertical="top"/>
      <protection/>
    </xf>
    <xf numFmtId="0" fontId="9" fillId="35" borderId="31" xfId="0" applyFont="1" applyFill="1" applyBorder="1" applyAlignment="1" applyProtection="1">
      <alignment horizontal="center" vertical="center" wrapText="1"/>
      <protection/>
    </xf>
    <xf numFmtId="0" fontId="0" fillId="35" borderId="31" xfId="0" applyFill="1" applyBorder="1" applyAlignment="1" applyProtection="1">
      <alignment horizontal="center" vertical="center" wrapText="1"/>
      <protection/>
    </xf>
    <xf numFmtId="0" fontId="0" fillId="35" borderId="32" xfId="0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164" fontId="25" fillId="0" borderId="0" xfId="0" applyNumberFormat="1" applyFont="1" applyAlignment="1" applyProtection="1">
      <alignment horizontal="right" vertical="center"/>
      <protection/>
    </xf>
    <xf numFmtId="0" fontId="9" fillId="35" borderId="0" xfId="0" applyFont="1" applyFill="1" applyAlignment="1" applyProtection="1">
      <alignment horizontal="center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4" fontId="12" fillId="0" borderId="0" xfId="0" applyNumberFormat="1" applyFont="1" applyAlignment="1" applyProtection="1">
      <alignment horizontal="right" vertical="center"/>
      <protection/>
    </xf>
    <xf numFmtId="0" fontId="9" fillId="34" borderId="0" xfId="0" applyFont="1" applyFill="1" applyAlignment="1">
      <alignment horizontal="left" vertical="center"/>
    </xf>
    <xf numFmtId="166" fontId="9" fillId="34" borderId="0" xfId="0" applyNumberFormat="1" applyFont="1" applyFill="1" applyAlignment="1">
      <alignment horizontal="left"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B7131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43B52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B7131.tmp" descr="C:\KROSplusData\System\Temp\radB713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43B52.tmp" descr="C:\KROSplusData\System\Temp\rad43B5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6"/>
  <sheetViews>
    <sheetView showGridLines="0" zoomScalePageLayoutView="0" workbookViewId="0" topLeftCell="A1">
      <pane ySplit="1" topLeftCell="A90" activePane="bottomLeft" state="frozen"/>
      <selection pane="topLeft" activeCell="A1" sqref="A1"/>
      <selection pane="bottomLeft" activeCell="A34" sqref="A34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55" t="s">
        <v>0</v>
      </c>
      <c r="B1" s="156"/>
      <c r="C1" s="156"/>
      <c r="D1" s="157" t="s">
        <v>1</v>
      </c>
      <c r="E1" s="156"/>
      <c r="F1" s="156"/>
      <c r="G1" s="156"/>
      <c r="H1" s="156"/>
      <c r="I1" s="156"/>
      <c r="J1" s="156"/>
      <c r="K1" s="158" t="s">
        <v>301</v>
      </c>
      <c r="L1" s="158"/>
      <c r="M1" s="158"/>
      <c r="N1" s="158"/>
      <c r="O1" s="158"/>
      <c r="P1" s="158"/>
      <c r="Q1" s="158"/>
      <c r="R1" s="158"/>
      <c r="S1" s="158"/>
      <c r="T1" s="156"/>
      <c r="U1" s="156"/>
      <c r="V1" s="156"/>
      <c r="W1" s="158" t="s">
        <v>302</v>
      </c>
      <c r="X1" s="158"/>
      <c r="Y1" s="158"/>
      <c r="Z1" s="158"/>
      <c r="AA1" s="158"/>
      <c r="AB1" s="158"/>
      <c r="AC1" s="158"/>
      <c r="AD1" s="158"/>
      <c r="AE1" s="158"/>
      <c r="AF1" s="158"/>
      <c r="AG1" s="156"/>
      <c r="AH1" s="156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 t="s">
        <v>2</v>
      </c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92" t="s">
        <v>4</v>
      </c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R2" s="163" t="s">
        <v>5</v>
      </c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81" t="s">
        <v>9</v>
      </c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2"/>
      <c r="AS4" s="13" t="s">
        <v>10</v>
      </c>
      <c r="BE4" s="14" t="s">
        <v>11</v>
      </c>
      <c r="BS4" s="6" t="s">
        <v>12</v>
      </c>
    </row>
    <row r="5" spans="2:71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2"/>
      <c r="BE5" s="194" t="s">
        <v>13</v>
      </c>
      <c r="BS5" s="6" t="s">
        <v>6</v>
      </c>
    </row>
    <row r="6" spans="2:71" s="2" customFormat="1" ht="26.25" customHeight="1">
      <c r="B6" s="10"/>
      <c r="C6" s="11"/>
      <c r="D6" s="15" t="s">
        <v>14</v>
      </c>
      <c r="E6" s="11"/>
      <c r="F6" s="11"/>
      <c r="G6" s="11"/>
      <c r="H6" s="11"/>
      <c r="I6" s="11"/>
      <c r="J6" s="11"/>
      <c r="K6" s="182" t="s">
        <v>15</v>
      </c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1"/>
      <c r="AQ6" s="12"/>
      <c r="BE6" s="164"/>
      <c r="BS6" s="6" t="s">
        <v>6</v>
      </c>
    </row>
    <row r="7" spans="2:71" s="2" customFormat="1" ht="7.5" customHeight="1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2"/>
      <c r="BE7" s="164"/>
      <c r="BS7" s="6" t="s">
        <v>6</v>
      </c>
    </row>
    <row r="8" spans="2:71" s="2" customFormat="1" ht="15" customHeight="1">
      <c r="B8" s="10"/>
      <c r="C8" s="11"/>
      <c r="D8" s="16" t="s">
        <v>16</v>
      </c>
      <c r="E8" s="11"/>
      <c r="F8" s="11"/>
      <c r="G8" s="11"/>
      <c r="H8" s="11"/>
      <c r="I8" s="11"/>
      <c r="J8" s="11"/>
      <c r="K8" s="17" t="s">
        <v>17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6" t="s">
        <v>18</v>
      </c>
      <c r="AL8" s="11"/>
      <c r="AM8" s="11"/>
      <c r="AN8" s="18" t="s">
        <v>19</v>
      </c>
      <c r="AO8" s="11"/>
      <c r="AP8" s="11"/>
      <c r="AQ8" s="12"/>
      <c r="BE8" s="164"/>
      <c r="BS8" s="6" t="s">
        <v>6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2"/>
      <c r="BE9" s="164"/>
      <c r="BS9" s="6" t="s">
        <v>6</v>
      </c>
    </row>
    <row r="10" spans="2:71" s="2" customFormat="1" ht="15" customHeight="1">
      <c r="B10" s="10"/>
      <c r="C10" s="11"/>
      <c r="D10" s="16" t="s">
        <v>20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6" t="s">
        <v>21</v>
      </c>
      <c r="AL10" s="11"/>
      <c r="AM10" s="11"/>
      <c r="AN10" s="17"/>
      <c r="AO10" s="11"/>
      <c r="AP10" s="11"/>
      <c r="AQ10" s="12"/>
      <c r="BE10" s="164"/>
      <c r="BS10" s="6" t="s">
        <v>22</v>
      </c>
    </row>
    <row r="11" spans="2:71" s="2" customFormat="1" ht="19.5" customHeight="1">
      <c r="B11" s="10"/>
      <c r="C11" s="11"/>
      <c r="D11" s="11"/>
      <c r="E11" s="17" t="s">
        <v>23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6" t="s">
        <v>24</v>
      </c>
      <c r="AL11" s="11"/>
      <c r="AM11" s="11"/>
      <c r="AN11" s="17"/>
      <c r="AO11" s="11"/>
      <c r="AP11" s="11"/>
      <c r="AQ11" s="12"/>
      <c r="BE11" s="164"/>
      <c r="BS11" s="6" t="s">
        <v>22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2"/>
      <c r="BE12" s="164"/>
      <c r="BS12" s="6" t="s">
        <v>22</v>
      </c>
    </row>
    <row r="13" spans="2:71" s="2" customFormat="1" ht="15" customHeight="1">
      <c r="B13" s="10"/>
      <c r="C13" s="11"/>
      <c r="D13" s="16" t="s">
        <v>25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6" t="s">
        <v>21</v>
      </c>
      <c r="AL13" s="11"/>
      <c r="AM13" s="11"/>
      <c r="AN13" s="19" t="s">
        <v>26</v>
      </c>
      <c r="AO13" s="11"/>
      <c r="AP13" s="11"/>
      <c r="AQ13" s="12"/>
      <c r="BE13" s="164"/>
      <c r="BS13" s="6" t="s">
        <v>22</v>
      </c>
    </row>
    <row r="14" spans="2:71" s="2" customFormat="1" ht="15.75" customHeight="1">
      <c r="B14" s="10"/>
      <c r="C14" s="11"/>
      <c r="D14" s="11"/>
      <c r="E14" s="196" t="s">
        <v>26</v>
      </c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6" t="s">
        <v>24</v>
      </c>
      <c r="AL14" s="11"/>
      <c r="AM14" s="11"/>
      <c r="AN14" s="19" t="s">
        <v>26</v>
      </c>
      <c r="AO14" s="11"/>
      <c r="AP14" s="11"/>
      <c r="AQ14" s="12"/>
      <c r="BE14" s="164"/>
      <c r="BS14" s="6" t="s">
        <v>22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2"/>
      <c r="BE15" s="164"/>
      <c r="BS15" s="6" t="s">
        <v>3</v>
      </c>
    </row>
    <row r="16" spans="2:71" s="2" customFormat="1" ht="15" customHeight="1">
      <c r="B16" s="10"/>
      <c r="C16" s="11"/>
      <c r="D16" s="16" t="s">
        <v>27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6" t="s">
        <v>21</v>
      </c>
      <c r="AL16" s="11"/>
      <c r="AM16" s="11"/>
      <c r="AN16" s="17"/>
      <c r="AO16" s="11"/>
      <c r="AP16" s="11"/>
      <c r="AQ16" s="12"/>
      <c r="BE16" s="164"/>
      <c r="BS16" s="6" t="s">
        <v>3</v>
      </c>
    </row>
    <row r="17" spans="2:71" s="2" customFormat="1" ht="19.5" customHeight="1">
      <c r="B17" s="10"/>
      <c r="C17" s="11"/>
      <c r="D17" s="11"/>
      <c r="E17" s="17" t="s">
        <v>28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6" t="s">
        <v>24</v>
      </c>
      <c r="AL17" s="11"/>
      <c r="AM17" s="11"/>
      <c r="AN17" s="17"/>
      <c r="AO17" s="11"/>
      <c r="AP17" s="11"/>
      <c r="AQ17" s="12"/>
      <c r="BE17" s="164"/>
      <c r="BS17" s="6" t="s">
        <v>29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2"/>
      <c r="BE18" s="164"/>
      <c r="BS18" s="6" t="s">
        <v>6</v>
      </c>
    </row>
    <row r="19" spans="2:71" s="2" customFormat="1" ht="15" customHeight="1">
      <c r="B19" s="10"/>
      <c r="C19" s="11"/>
      <c r="D19" s="16" t="s">
        <v>30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6" t="s">
        <v>21</v>
      </c>
      <c r="AL19" s="11"/>
      <c r="AM19" s="11"/>
      <c r="AN19" s="17"/>
      <c r="AO19" s="11"/>
      <c r="AP19" s="11"/>
      <c r="AQ19" s="12"/>
      <c r="BE19" s="164"/>
      <c r="BS19" s="6" t="s">
        <v>22</v>
      </c>
    </row>
    <row r="20" spans="2:57" s="2" customFormat="1" ht="19.5" customHeight="1">
      <c r="B20" s="10"/>
      <c r="C20" s="11"/>
      <c r="D20" s="11"/>
      <c r="E20" s="17" t="s">
        <v>31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6" t="s">
        <v>24</v>
      </c>
      <c r="AL20" s="11"/>
      <c r="AM20" s="11"/>
      <c r="AN20" s="17"/>
      <c r="AO20" s="11"/>
      <c r="AP20" s="11"/>
      <c r="AQ20" s="12"/>
      <c r="BE20" s="164"/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2"/>
      <c r="BE21" s="164"/>
    </row>
    <row r="22" spans="2:57" s="2" customFormat="1" ht="7.5" customHeight="1">
      <c r="B22" s="10"/>
      <c r="C22" s="11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11"/>
      <c r="AQ22" s="12"/>
      <c r="BE22" s="164"/>
    </row>
    <row r="23" spans="2:57" s="2" customFormat="1" ht="15" customHeight="1">
      <c r="B23" s="10"/>
      <c r="C23" s="11"/>
      <c r="D23" s="21" t="s">
        <v>32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97">
        <f>ROUNDUP($AG$87,2)</f>
        <v>0</v>
      </c>
      <c r="AL23" s="193"/>
      <c r="AM23" s="193"/>
      <c r="AN23" s="193"/>
      <c r="AO23" s="193"/>
      <c r="AP23" s="11"/>
      <c r="AQ23" s="12"/>
      <c r="BE23" s="164"/>
    </row>
    <row r="24" spans="2:57" s="2" customFormat="1" ht="15" customHeight="1">
      <c r="B24" s="10"/>
      <c r="C24" s="11"/>
      <c r="D24" s="21" t="s">
        <v>33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97">
        <f>ROUNDUP($AG$90,2)</f>
        <v>0</v>
      </c>
      <c r="AL24" s="193"/>
      <c r="AM24" s="193"/>
      <c r="AN24" s="193"/>
      <c r="AO24" s="193"/>
      <c r="AP24" s="11"/>
      <c r="AQ24" s="12"/>
      <c r="BE24" s="164"/>
    </row>
    <row r="25" spans="2:57" s="6" customFormat="1" ht="7.5" customHeight="1"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4"/>
      <c r="BE25" s="187"/>
    </row>
    <row r="26" spans="2:57" s="6" customFormat="1" ht="27" customHeight="1">
      <c r="B26" s="22"/>
      <c r="C26" s="23"/>
      <c r="D26" s="25" t="s">
        <v>34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198">
        <f>ROUNDUP($AK$23+$AK$24,2)</f>
        <v>0</v>
      </c>
      <c r="AL26" s="199"/>
      <c r="AM26" s="199"/>
      <c r="AN26" s="199"/>
      <c r="AO26" s="199"/>
      <c r="AP26" s="23"/>
      <c r="AQ26" s="24"/>
      <c r="BE26" s="187"/>
    </row>
    <row r="27" spans="2:57" s="6" customFormat="1" ht="7.5" customHeight="1"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4"/>
      <c r="BE27" s="187"/>
    </row>
    <row r="28" spans="2:57" s="6" customFormat="1" ht="15" customHeight="1">
      <c r="B28" s="27"/>
      <c r="C28" s="28"/>
      <c r="D28" s="28" t="s">
        <v>35</v>
      </c>
      <c r="E28" s="28"/>
      <c r="F28" s="28" t="s">
        <v>36</v>
      </c>
      <c r="G28" s="28"/>
      <c r="H28" s="28"/>
      <c r="I28" s="28"/>
      <c r="J28" s="28"/>
      <c r="K28" s="28"/>
      <c r="L28" s="189">
        <v>0.21</v>
      </c>
      <c r="M28" s="190"/>
      <c r="N28" s="190"/>
      <c r="O28" s="190"/>
      <c r="P28" s="28"/>
      <c r="Q28" s="28"/>
      <c r="R28" s="28"/>
      <c r="S28" s="28"/>
      <c r="T28" s="30" t="s">
        <v>37</v>
      </c>
      <c r="U28" s="28"/>
      <c r="V28" s="28"/>
      <c r="W28" s="191">
        <f>ROUNDUP($AZ$87+SUM($CD$91:$CD$104),2)</f>
        <v>0</v>
      </c>
      <c r="X28" s="190"/>
      <c r="Y28" s="190"/>
      <c r="Z28" s="190"/>
      <c r="AA28" s="190"/>
      <c r="AB28" s="190"/>
      <c r="AC28" s="190"/>
      <c r="AD28" s="190"/>
      <c r="AE28" s="190"/>
      <c r="AF28" s="28"/>
      <c r="AG28" s="28"/>
      <c r="AH28" s="28"/>
      <c r="AI28" s="28"/>
      <c r="AJ28" s="28"/>
      <c r="AK28" s="191">
        <f>ROUNDUP($AV$87+SUM($BY$91:$BY$104),1)</f>
        <v>0</v>
      </c>
      <c r="AL28" s="190"/>
      <c r="AM28" s="190"/>
      <c r="AN28" s="190"/>
      <c r="AO28" s="190"/>
      <c r="AP28" s="28"/>
      <c r="AQ28" s="31"/>
      <c r="BE28" s="195"/>
    </row>
    <row r="29" spans="2:57" s="6" customFormat="1" ht="15" customHeight="1">
      <c r="B29" s="27"/>
      <c r="C29" s="28"/>
      <c r="D29" s="28"/>
      <c r="E29" s="28"/>
      <c r="F29" s="28" t="s">
        <v>38</v>
      </c>
      <c r="G29" s="28"/>
      <c r="H29" s="28"/>
      <c r="I29" s="28"/>
      <c r="J29" s="28"/>
      <c r="K29" s="28"/>
      <c r="L29" s="189">
        <v>0.15</v>
      </c>
      <c r="M29" s="190"/>
      <c r="N29" s="190"/>
      <c r="O29" s="190"/>
      <c r="P29" s="28"/>
      <c r="Q29" s="28"/>
      <c r="R29" s="28"/>
      <c r="S29" s="28"/>
      <c r="T29" s="30" t="s">
        <v>37</v>
      </c>
      <c r="U29" s="28"/>
      <c r="V29" s="28"/>
      <c r="W29" s="191">
        <f>ROUNDUP($BA$87+SUM($CE$91:$CE$104),2)</f>
        <v>0</v>
      </c>
      <c r="X29" s="190"/>
      <c r="Y29" s="190"/>
      <c r="Z29" s="190"/>
      <c r="AA29" s="190"/>
      <c r="AB29" s="190"/>
      <c r="AC29" s="190"/>
      <c r="AD29" s="190"/>
      <c r="AE29" s="190"/>
      <c r="AF29" s="28"/>
      <c r="AG29" s="28"/>
      <c r="AH29" s="28"/>
      <c r="AI29" s="28"/>
      <c r="AJ29" s="28"/>
      <c r="AK29" s="191">
        <f>ROUNDUP($AW$87+SUM($BZ$91:$BZ$104),1)</f>
        <v>0</v>
      </c>
      <c r="AL29" s="190"/>
      <c r="AM29" s="190"/>
      <c r="AN29" s="190"/>
      <c r="AO29" s="190"/>
      <c r="AP29" s="28"/>
      <c r="AQ29" s="31"/>
      <c r="BE29" s="195"/>
    </row>
    <row r="30" spans="2:57" s="6" customFormat="1" ht="15" customHeight="1" hidden="1">
      <c r="B30" s="27"/>
      <c r="C30" s="28"/>
      <c r="D30" s="28"/>
      <c r="E30" s="28"/>
      <c r="F30" s="28" t="s">
        <v>39</v>
      </c>
      <c r="G30" s="28"/>
      <c r="H30" s="28"/>
      <c r="I30" s="28"/>
      <c r="J30" s="28"/>
      <c r="K30" s="28"/>
      <c r="L30" s="189">
        <v>0.21</v>
      </c>
      <c r="M30" s="190"/>
      <c r="N30" s="190"/>
      <c r="O30" s="190"/>
      <c r="P30" s="28"/>
      <c r="Q30" s="28"/>
      <c r="R30" s="28"/>
      <c r="S30" s="28"/>
      <c r="T30" s="30" t="s">
        <v>37</v>
      </c>
      <c r="U30" s="28"/>
      <c r="V30" s="28"/>
      <c r="W30" s="191">
        <f>ROUNDUP($BB$87+SUM($CF$91:$CF$104),2)</f>
        <v>0</v>
      </c>
      <c r="X30" s="190"/>
      <c r="Y30" s="190"/>
      <c r="Z30" s="190"/>
      <c r="AA30" s="190"/>
      <c r="AB30" s="190"/>
      <c r="AC30" s="190"/>
      <c r="AD30" s="190"/>
      <c r="AE30" s="190"/>
      <c r="AF30" s="28"/>
      <c r="AG30" s="28"/>
      <c r="AH30" s="28"/>
      <c r="AI30" s="28"/>
      <c r="AJ30" s="28"/>
      <c r="AK30" s="191">
        <v>0</v>
      </c>
      <c r="AL30" s="190"/>
      <c r="AM30" s="190"/>
      <c r="AN30" s="190"/>
      <c r="AO30" s="190"/>
      <c r="AP30" s="28"/>
      <c r="AQ30" s="31"/>
      <c r="BE30" s="195"/>
    </row>
    <row r="31" spans="2:57" s="6" customFormat="1" ht="15" customHeight="1" hidden="1">
      <c r="B31" s="27"/>
      <c r="C31" s="28"/>
      <c r="D31" s="28"/>
      <c r="E31" s="28"/>
      <c r="F31" s="28" t="s">
        <v>40</v>
      </c>
      <c r="G31" s="28"/>
      <c r="H31" s="28"/>
      <c r="I31" s="28"/>
      <c r="J31" s="28"/>
      <c r="K31" s="28"/>
      <c r="L31" s="189">
        <v>0.15</v>
      </c>
      <c r="M31" s="190"/>
      <c r="N31" s="190"/>
      <c r="O31" s="190"/>
      <c r="P31" s="28"/>
      <c r="Q31" s="28"/>
      <c r="R31" s="28"/>
      <c r="S31" s="28"/>
      <c r="T31" s="30" t="s">
        <v>37</v>
      </c>
      <c r="U31" s="28"/>
      <c r="V31" s="28"/>
      <c r="W31" s="191">
        <f>ROUNDUP($BC$87+SUM($CG$91:$CG$104),2)</f>
        <v>0</v>
      </c>
      <c r="X31" s="190"/>
      <c r="Y31" s="190"/>
      <c r="Z31" s="190"/>
      <c r="AA31" s="190"/>
      <c r="AB31" s="190"/>
      <c r="AC31" s="190"/>
      <c r="AD31" s="190"/>
      <c r="AE31" s="190"/>
      <c r="AF31" s="28"/>
      <c r="AG31" s="28"/>
      <c r="AH31" s="28"/>
      <c r="AI31" s="28"/>
      <c r="AJ31" s="28"/>
      <c r="AK31" s="191">
        <v>0</v>
      </c>
      <c r="AL31" s="190"/>
      <c r="AM31" s="190"/>
      <c r="AN31" s="190"/>
      <c r="AO31" s="190"/>
      <c r="AP31" s="28"/>
      <c r="AQ31" s="31"/>
      <c r="BE31" s="195"/>
    </row>
    <row r="32" spans="2:57" s="6" customFormat="1" ht="15" customHeight="1" hidden="1">
      <c r="B32" s="27"/>
      <c r="C32" s="28"/>
      <c r="D32" s="28"/>
      <c r="E32" s="28"/>
      <c r="F32" s="28" t="s">
        <v>41</v>
      </c>
      <c r="G32" s="28"/>
      <c r="H32" s="28"/>
      <c r="I32" s="28"/>
      <c r="J32" s="28"/>
      <c r="K32" s="28"/>
      <c r="L32" s="189">
        <v>0</v>
      </c>
      <c r="M32" s="190"/>
      <c r="N32" s="190"/>
      <c r="O32" s="190"/>
      <c r="P32" s="28"/>
      <c r="Q32" s="28"/>
      <c r="R32" s="28"/>
      <c r="S32" s="28"/>
      <c r="T32" s="30" t="s">
        <v>37</v>
      </c>
      <c r="U32" s="28"/>
      <c r="V32" s="28"/>
      <c r="W32" s="191">
        <f>ROUNDUP($BD$87+SUM($CH$91:$CH$104),2)</f>
        <v>0</v>
      </c>
      <c r="X32" s="190"/>
      <c r="Y32" s="190"/>
      <c r="Z32" s="190"/>
      <c r="AA32" s="190"/>
      <c r="AB32" s="190"/>
      <c r="AC32" s="190"/>
      <c r="AD32" s="190"/>
      <c r="AE32" s="190"/>
      <c r="AF32" s="28"/>
      <c r="AG32" s="28"/>
      <c r="AH32" s="28"/>
      <c r="AI32" s="28"/>
      <c r="AJ32" s="28"/>
      <c r="AK32" s="191">
        <v>0</v>
      </c>
      <c r="AL32" s="190"/>
      <c r="AM32" s="190"/>
      <c r="AN32" s="190"/>
      <c r="AO32" s="190"/>
      <c r="AP32" s="28"/>
      <c r="AQ32" s="31"/>
      <c r="BE32" s="195"/>
    </row>
    <row r="33" spans="2:57" s="6" customFormat="1" ht="7.5" customHeight="1"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4"/>
      <c r="BE33" s="187"/>
    </row>
    <row r="34" spans="2:57" s="6" customFormat="1" ht="27" customHeight="1">
      <c r="B34" s="22"/>
      <c r="C34" s="32"/>
      <c r="D34" s="33" t="s">
        <v>42</v>
      </c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5" t="s">
        <v>43</v>
      </c>
      <c r="U34" s="34"/>
      <c r="V34" s="34"/>
      <c r="W34" s="34"/>
      <c r="X34" s="179" t="s">
        <v>44</v>
      </c>
      <c r="Y34" s="172"/>
      <c r="Z34" s="172"/>
      <c r="AA34" s="172"/>
      <c r="AB34" s="172"/>
      <c r="AC34" s="34"/>
      <c r="AD34" s="34"/>
      <c r="AE34" s="34"/>
      <c r="AF34" s="34"/>
      <c r="AG34" s="34"/>
      <c r="AH34" s="34"/>
      <c r="AI34" s="34"/>
      <c r="AJ34" s="34"/>
      <c r="AK34" s="180">
        <f>ROUNDUP(SUM($AK$26:$AK$32),2)</f>
        <v>0</v>
      </c>
      <c r="AL34" s="172"/>
      <c r="AM34" s="172"/>
      <c r="AN34" s="172"/>
      <c r="AO34" s="174"/>
      <c r="AP34" s="32"/>
      <c r="AQ34" s="24"/>
      <c r="BE34" s="187"/>
    </row>
    <row r="35" spans="2:43" s="6" customFormat="1" ht="15" customHeight="1">
      <c r="B35" s="2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4"/>
    </row>
    <row r="36" spans="2:43" s="2" customFormat="1" ht="14.25" customHeight="1"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2"/>
    </row>
    <row r="37" spans="2:43" s="2" customFormat="1" ht="14.25" customHeight="1"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2"/>
    </row>
    <row r="38" spans="2:43" s="2" customFormat="1" ht="14.25" customHeight="1"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2"/>
    </row>
    <row r="39" spans="2:43" s="2" customFormat="1" ht="14.25" customHeight="1"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2"/>
    </row>
    <row r="40" spans="2:43" s="2" customFormat="1" ht="14.25" customHeight="1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2"/>
    </row>
    <row r="41" spans="2:43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2"/>
    </row>
    <row r="42" spans="2:43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2"/>
    </row>
    <row r="43" spans="2:43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2"/>
    </row>
    <row r="44" spans="2:43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2"/>
    </row>
    <row r="45" spans="2:43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2"/>
    </row>
    <row r="46" spans="2:43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2"/>
    </row>
    <row r="47" spans="2:43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2"/>
    </row>
    <row r="48" spans="2:43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2"/>
    </row>
    <row r="49" spans="2:43" s="6" customFormat="1" ht="15.75" customHeight="1">
      <c r="B49" s="22"/>
      <c r="C49" s="23"/>
      <c r="D49" s="36" t="s">
        <v>45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8"/>
      <c r="AA49" s="23"/>
      <c r="AB49" s="23"/>
      <c r="AC49" s="36" t="s">
        <v>46</v>
      </c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8"/>
      <c r="AP49" s="23"/>
      <c r="AQ49" s="24"/>
    </row>
    <row r="50" spans="2:43" s="2" customFormat="1" ht="14.25" customHeight="1">
      <c r="B50" s="10"/>
      <c r="C50" s="11"/>
      <c r="D50" s="39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40"/>
      <c r="AA50" s="11"/>
      <c r="AB50" s="11"/>
      <c r="AC50" s="39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40"/>
      <c r="AP50" s="11"/>
      <c r="AQ50" s="12"/>
    </row>
    <row r="51" spans="2:43" s="2" customFormat="1" ht="14.25" customHeight="1">
      <c r="B51" s="10"/>
      <c r="C51" s="11"/>
      <c r="D51" s="39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40"/>
      <c r="AA51" s="11"/>
      <c r="AB51" s="11"/>
      <c r="AC51" s="39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40"/>
      <c r="AP51" s="11"/>
      <c r="AQ51" s="12"/>
    </row>
    <row r="52" spans="2:43" s="2" customFormat="1" ht="14.25" customHeight="1">
      <c r="B52" s="10"/>
      <c r="C52" s="11"/>
      <c r="D52" s="39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40"/>
      <c r="AA52" s="11"/>
      <c r="AB52" s="11"/>
      <c r="AC52" s="39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40"/>
      <c r="AP52" s="11"/>
      <c r="AQ52" s="12"/>
    </row>
    <row r="53" spans="2:43" s="2" customFormat="1" ht="14.25" customHeight="1">
      <c r="B53" s="10"/>
      <c r="C53" s="11"/>
      <c r="D53" s="39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40"/>
      <c r="AA53" s="11"/>
      <c r="AB53" s="11"/>
      <c r="AC53" s="39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40"/>
      <c r="AP53" s="11"/>
      <c r="AQ53" s="12"/>
    </row>
    <row r="54" spans="2:43" s="2" customFormat="1" ht="14.25" customHeight="1">
      <c r="B54" s="10"/>
      <c r="C54" s="11"/>
      <c r="D54" s="39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40"/>
      <c r="AA54" s="11"/>
      <c r="AB54" s="11"/>
      <c r="AC54" s="39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40"/>
      <c r="AP54" s="11"/>
      <c r="AQ54" s="12"/>
    </row>
    <row r="55" spans="2:43" s="2" customFormat="1" ht="14.25" customHeight="1">
      <c r="B55" s="10"/>
      <c r="C55" s="11"/>
      <c r="D55" s="39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40"/>
      <c r="AA55" s="11"/>
      <c r="AB55" s="11"/>
      <c r="AC55" s="39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40"/>
      <c r="AP55" s="11"/>
      <c r="AQ55" s="12"/>
    </row>
    <row r="56" spans="2:43" s="2" customFormat="1" ht="14.25" customHeight="1">
      <c r="B56" s="10"/>
      <c r="C56" s="11"/>
      <c r="D56" s="39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40"/>
      <c r="AA56" s="11"/>
      <c r="AB56" s="11"/>
      <c r="AC56" s="39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40"/>
      <c r="AP56" s="11"/>
      <c r="AQ56" s="12"/>
    </row>
    <row r="57" spans="2:43" s="2" customFormat="1" ht="14.25" customHeight="1">
      <c r="B57" s="10"/>
      <c r="C57" s="11"/>
      <c r="D57" s="39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40"/>
      <c r="AA57" s="11"/>
      <c r="AB57" s="11"/>
      <c r="AC57" s="39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40"/>
      <c r="AP57" s="11"/>
      <c r="AQ57" s="12"/>
    </row>
    <row r="58" spans="2:43" s="6" customFormat="1" ht="15.75" customHeight="1">
      <c r="B58" s="22"/>
      <c r="C58" s="23"/>
      <c r="D58" s="41" t="s">
        <v>47</v>
      </c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3" t="s">
        <v>48</v>
      </c>
      <c r="S58" s="42"/>
      <c r="T58" s="42"/>
      <c r="U58" s="42"/>
      <c r="V58" s="42"/>
      <c r="W58" s="42"/>
      <c r="X58" s="42"/>
      <c r="Y58" s="42"/>
      <c r="Z58" s="44"/>
      <c r="AA58" s="23"/>
      <c r="AB58" s="23"/>
      <c r="AC58" s="41" t="s">
        <v>47</v>
      </c>
      <c r="AD58" s="42"/>
      <c r="AE58" s="42"/>
      <c r="AF58" s="42"/>
      <c r="AG58" s="42"/>
      <c r="AH58" s="42"/>
      <c r="AI58" s="42"/>
      <c r="AJ58" s="42"/>
      <c r="AK58" s="42"/>
      <c r="AL58" s="42"/>
      <c r="AM58" s="43" t="s">
        <v>48</v>
      </c>
      <c r="AN58" s="42"/>
      <c r="AO58" s="44"/>
      <c r="AP58" s="23"/>
      <c r="AQ58" s="24"/>
    </row>
    <row r="59" spans="2:43" s="2" customFormat="1" ht="14.25" customHeight="1">
      <c r="B59" s="1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2"/>
    </row>
    <row r="60" spans="2:43" s="6" customFormat="1" ht="15.75" customHeight="1">
      <c r="B60" s="22"/>
      <c r="C60" s="23"/>
      <c r="D60" s="36" t="s">
        <v>49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8"/>
      <c r="AA60" s="23"/>
      <c r="AB60" s="23"/>
      <c r="AC60" s="36" t="s">
        <v>50</v>
      </c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8"/>
      <c r="AP60" s="23"/>
      <c r="AQ60" s="24"/>
    </row>
    <row r="61" spans="2:43" s="2" customFormat="1" ht="14.25" customHeight="1">
      <c r="B61" s="10"/>
      <c r="C61" s="11"/>
      <c r="D61" s="39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40"/>
      <c r="AA61" s="11"/>
      <c r="AB61" s="11"/>
      <c r="AC61" s="39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40"/>
      <c r="AP61" s="11"/>
      <c r="AQ61" s="12"/>
    </row>
    <row r="62" spans="2:43" s="2" customFormat="1" ht="14.25" customHeight="1">
      <c r="B62" s="10"/>
      <c r="C62" s="11"/>
      <c r="D62" s="39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40"/>
      <c r="AA62" s="11"/>
      <c r="AB62" s="11"/>
      <c r="AC62" s="39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40"/>
      <c r="AP62" s="11"/>
      <c r="AQ62" s="12"/>
    </row>
    <row r="63" spans="2:43" s="2" customFormat="1" ht="14.25" customHeight="1">
      <c r="B63" s="10"/>
      <c r="C63" s="11"/>
      <c r="D63" s="39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40"/>
      <c r="AA63" s="11"/>
      <c r="AB63" s="11"/>
      <c r="AC63" s="39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40"/>
      <c r="AP63" s="11"/>
      <c r="AQ63" s="12"/>
    </row>
    <row r="64" spans="2:43" s="2" customFormat="1" ht="14.25" customHeight="1">
      <c r="B64" s="10"/>
      <c r="C64" s="11"/>
      <c r="D64" s="39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40"/>
      <c r="AA64" s="11"/>
      <c r="AB64" s="11"/>
      <c r="AC64" s="39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40"/>
      <c r="AP64" s="11"/>
      <c r="AQ64" s="12"/>
    </row>
    <row r="65" spans="2:43" s="2" customFormat="1" ht="14.25" customHeight="1">
      <c r="B65" s="10"/>
      <c r="C65" s="11"/>
      <c r="D65" s="39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40"/>
      <c r="AA65" s="11"/>
      <c r="AB65" s="11"/>
      <c r="AC65" s="39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40"/>
      <c r="AP65" s="11"/>
      <c r="AQ65" s="12"/>
    </row>
    <row r="66" spans="2:43" s="2" customFormat="1" ht="14.25" customHeight="1">
      <c r="B66" s="10"/>
      <c r="C66" s="11"/>
      <c r="D66" s="39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40"/>
      <c r="AA66" s="11"/>
      <c r="AB66" s="11"/>
      <c r="AC66" s="39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40"/>
      <c r="AP66" s="11"/>
      <c r="AQ66" s="12"/>
    </row>
    <row r="67" spans="2:43" s="2" customFormat="1" ht="14.25" customHeight="1">
      <c r="B67" s="10"/>
      <c r="C67" s="11"/>
      <c r="D67" s="39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40"/>
      <c r="AA67" s="11"/>
      <c r="AB67" s="11"/>
      <c r="AC67" s="39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40"/>
      <c r="AP67" s="11"/>
      <c r="AQ67" s="12"/>
    </row>
    <row r="68" spans="2:43" s="2" customFormat="1" ht="14.25" customHeight="1">
      <c r="B68" s="10"/>
      <c r="C68" s="11"/>
      <c r="D68" s="39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40"/>
      <c r="AA68" s="11"/>
      <c r="AB68" s="11"/>
      <c r="AC68" s="39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40"/>
      <c r="AP68" s="11"/>
      <c r="AQ68" s="12"/>
    </row>
    <row r="69" spans="2:43" s="6" customFormat="1" ht="15.75" customHeight="1">
      <c r="B69" s="22"/>
      <c r="C69" s="23"/>
      <c r="D69" s="41" t="s">
        <v>47</v>
      </c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3" t="s">
        <v>48</v>
      </c>
      <c r="S69" s="42"/>
      <c r="T69" s="42"/>
      <c r="U69" s="42"/>
      <c r="V69" s="42"/>
      <c r="W69" s="42"/>
      <c r="X69" s="42"/>
      <c r="Y69" s="42"/>
      <c r="Z69" s="44"/>
      <c r="AA69" s="23"/>
      <c r="AB69" s="23"/>
      <c r="AC69" s="41" t="s">
        <v>47</v>
      </c>
      <c r="AD69" s="42"/>
      <c r="AE69" s="42"/>
      <c r="AF69" s="42"/>
      <c r="AG69" s="42"/>
      <c r="AH69" s="42"/>
      <c r="AI69" s="42"/>
      <c r="AJ69" s="42"/>
      <c r="AK69" s="42"/>
      <c r="AL69" s="42"/>
      <c r="AM69" s="43" t="s">
        <v>48</v>
      </c>
      <c r="AN69" s="42"/>
      <c r="AO69" s="44"/>
      <c r="AP69" s="23"/>
      <c r="AQ69" s="24"/>
    </row>
    <row r="70" spans="2:43" s="6" customFormat="1" ht="7.5" customHeight="1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4"/>
    </row>
    <row r="71" spans="2:43" s="6" customFormat="1" ht="7.5" customHeight="1">
      <c r="B71" s="45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7"/>
    </row>
    <row r="75" spans="2:43" s="6" customFormat="1" ht="7.5" customHeight="1">
      <c r="B75" s="48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50"/>
    </row>
    <row r="76" spans="2:43" s="6" customFormat="1" ht="37.5" customHeight="1">
      <c r="B76" s="22"/>
      <c r="C76" s="181" t="s">
        <v>51</v>
      </c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  <c r="AD76" s="166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24"/>
    </row>
    <row r="77" spans="2:43" s="6" customFormat="1" ht="7.5" customHeight="1">
      <c r="B77" s="22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4"/>
    </row>
    <row r="78" spans="2:43" s="51" customFormat="1" ht="27" customHeight="1">
      <c r="B78" s="52"/>
      <c r="C78" s="15" t="s">
        <v>14</v>
      </c>
      <c r="D78" s="15"/>
      <c r="E78" s="15"/>
      <c r="F78" s="15"/>
      <c r="G78" s="15"/>
      <c r="H78" s="15"/>
      <c r="I78" s="15"/>
      <c r="J78" s="15"/>
      <c r="K78" s="15"/>
      <c r="L78" s="182" t="str">
        <f>$K$6</f>
        <v>1243 - ZŠ Lidická - oprava klempířských prvků</v>
      </c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5"/>
      <c r="AQ78" s="53"/>
    </row>
    <row r="79" spans="2:43" s="6" customFormat="1" ht="7.5" customHeight="1">
      <c r="B79" s="22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4"/>
    </row>
    <row r="80" spans="2:43" s="6" customFormat="1" ht="15.75" customHeight="1">
      <c r="B80" s="22"/>
      <c r="C80" s="16" t="s">
        <v>16</v>
      </c>
      <c r="D80" s="23"/>
      <c r="E80" s="23"/>
      <c r="F80" s="23"/>
      <c r="G80" s="23"/>
      <c r="H80" s="23"/>
      <c r="I80" s="23"/>
      <c r="J80" s="23"/>
      <c r="K80" s="23"/>
      <c r="L80" s="54" t="str">
        <f>IF($K$8="","",$K$8)</f>
        <v>Hrádek nad Nisou</v>
      </c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16" t="s">
        <v>18</v>
      </c>
      <c r="AJ80" s="23"/>
      <c r="AK80" s="23"/>
      <c r="AL80" s="23"/>
      <c r="AM80" s="55" t="str">
        <f>IF($AN$8="","",$AN$8)</f>
        <v>15.05.2013</v>
      </c>
      <c r="AN80" s="23"/>
      <c r="AO80" s="23"/>
      <c r="AP80" s="23"/>
      <c r="AQ80" s="24"/>
    </row>
    <row r="81" spans="2:43" s="6" customFormat="1" ht="7.5" customHeight="1">
      <c r="B81" s="22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4"/>
    </row>
    <row r="82" spans="2:56" s="6" customFormat="1" ht="18.75" customHeight="1">
      <c r="B82" s="22"/>
      <c r="C82" s="16" t="s">
        <v>20</v>
      </c>
      <c r="D82" s="23"/>
      <c r="E82" s="23"/>
      <c r="F82" s="23"/>
      <c r="G82" s="23"/>
      <c r="H82" s="23"/>
      <c r="I82" s="23"/>
      <c r="J82" s="23"/>
      <c r="K82" s="23"/>
      <c r="L82" s="17" t="str">
        <f>IF($E$11="","",$E$11)</f>
        <v>Město Hrádek n.Nis., Horní náměstí 73, 463 34</v>
      </c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16" t="s">
        <v>27</v>
      </c>
      <c r="AJ82" s="23"/>
      <c r="AK82" s="23"/>
      <c r="AL82" s="23"/>
      <c r="AM82" s="183" t="str">
        <f>IF($E$17="","",$E$17)</f>
        <v>STORING spol. s r.o., V Horkách 94/5, 460 07 Lbc 9</v>
      </c>
      <c r="AN82" s="166"/>
      <c r="AO82" s="166"/>
      <c r="AP82" s="166"/>
      <c r="AQ82" s="24"/>
      <c r="AS82" s="184" t="s">
        <v>52</v>
      </c>
      <c r="AT82" s="185"/>
      <c r="AU82" s="56"/>
      <c r="AV82" s="56"/>
      <c r="AW82" s="56"/>
      <c r="AX82" s="56"/>
      <c r="AY82" s="56"/>
      <c r="AZ82" s="56"/>
      <c r="BA82" s="56"/>
      <c r="BB82" s="56"/>
      <c r="BC82" s="56"/>
      <c r="BD82" s="57"/>
    </row>
    <row r="83" spans="2:56" s="6" customFormat="1" ht="15.75" customHeight="1">
      <c r="B83" s="22"/>
      <c r="C83" s="16" t="s">
        <v>25</v>
      </c>
      <c r="D83" s="23"/>
      <c r="E83" s="23"/>
      <c r="F83" s="23"/>
      <c r="G83" s="23"/>
      <c r="H83" s="23"/>
      <c r="I83" s="23"/>
      <c r="J83" s="23"/>
      <c r="K83" s="23"/>
      <c r="L83" s="17">
        <f>IF($E$14="Vyplň údaj","",$E$14)</f>
      </c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16" t="s">
        <v>30</v>
      </c>
      <c r="AJ83" s="23"/>
      <c r="AK83" s="23"/>
      <c r="AL83" s="23"/>
      <c r="AM83" s="183" t="str">
        <f>IF($E$20="","",$E$20)</f>
        <v> </v>
      </c>
      <c r="AN83" s="166"/>
      <c r="AO83" s="166"/>
      <c r="AP83" s="166"/>
      <c r="AQ83" s="24"/>
      <c r="AS83" s="186"/>
      <c r="AT83" s="187"/>
      <c r="BD83" s="58"/>
    </row>
    <row r="84" spans="2:56" s="6" customFormat="1" ht="12" customHeight="1">
      <c r="B84" s="22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4"/>
      <c r="AS84" s="188"/>
      <c r="AT84" s="166"/>
      <c r="AU84" s="23"/>
      <c r="AV84" s="23"/>
      <c r="AW84" s="23"/>
      <c r="AX84" s="23"/>
      <c r="AY84" s="23"/>
      <c r="AZ84" s="23"/>
      <c r="BA84" s="23"/>
      <c r="BB84" s="23"/>
      <c r="BC84" s="23"/>
      <c r="BD84" s="60"/>
    </row>
    <row r="85" spans="2:57" s="6" customFormat="1" ht="30" customHeight="1">
      <c r="B85" s="22"/>
      <c r="C85" s="171" t="s">
        <v>53</v>
      </c>
      <c r="D85" s="172"/>
      <c r="E85" s="172"/>
      <c r="F85" s="172"/>
      <c r="G85" s="172"/>
      <c r="H85" s="34"/>
      <c r="I85" s="173" t="s">
        <v>54</v>
      </c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  <c r="AF85" s="172"/>
      <c r="AG85" s="173" t="s">
        <v>55</v>
      </c>
      <c r="AH85" s="172"/>
      <c r="AI85" s="172"/>
      <c r="AJ85" s="172"/>
      <c r="AK85" s="172"/>
      <c r="AL85" s="172"/>
      <c r="AM85" s="172"/>
      <c r="AN85" s="173" t="s">
        <v>56</v>
      </c>
      <c r="AO85" s="172"/>
      <c r="AP85" s="174"/>
      <c r="AQ85" s="24"/>
      <c r="AS85" s="61" t="s">
        <v>57</v>
      </c>
      <c r="AT85" s="62" t="s">
        <v>58</v>
      </c>
      <c r="AU85" s="62" t="s">
        <v>59</v>
      </c>
      <c r="AV85" s="62" t="s">
        <v>60</v>
      </c>
      <c r="AW85" s="62" t="s">
        <v>61</v>
      </c>
      <c r="AX85" s="62" t="s">
        <v>62</v>
      </c>
      <c r="AY85" s="62" t="s">
        <v>63</v>
      </c>
      <c r="AZ85" s="62" t="s">
        <v>64</v>
      </c>
      <c r="BA85" s="62" t="s">
        <v>65</v>
      </c>
      <c r="BB85" s="62" t="s">
        <v>66</v>
      </c>
      <c r="BC85" s="62" t="s">
        <v>67</v>
      </c>
      <c r="BD85" s="63" t="s">
        <v>68</v>
      </c>
      <c r="BE85" s="64"/>
    </row>
    <row r="86" spans="2:56" s="6" customFormat="1" ht="12" customHeight="1">
      <c r="B86" s="22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4"/>
      <c r="AS86" s="65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8"/>
    </row>
    <row r="87" spans="2:76" s="51" customFormat="1" ht="33" customHeight="1">
      <c r="B87" s="52"/>
      <c r="C87" s="66" t="s">
        <v>69</v>
      </c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169">
        <f>ROUNDUP($AG$88,2)</f>
        <v>0</v>
      </c>
      <c r="AH87" s="170"/>
      <c r="AI87" s="170"/>
      <c r="AJ87" s="170"/>
      <c r="AK87" s="170"/>
      <c r="AL87" s="170"/>
      <c r="AM87" s="170"/>
      <c r="AN87" s="169">
        <f>ROUNDUP(SUM($AG$87,$AT$87),2)</f>
        <v>0</v>
      </c>
      <c r="AO87" s="170"/>
      <c r="AP87" s="170"/>
      <c r="AQ87" s="53"/>
      <c r="AS87" s="67">
        <f>ROUNDUP($AS$88,2)</f>
        <v>0</v>
      </c>
      <c r="AT87" s="68">
        <f>ROUNDUP(SUM($AV$87:$AW$87),1)</f>
        <v>0</v>
      </c>
      <c r="AU87" s="69">
        <f>ROUNDUP($AU$88,5)</f>
        <v>2773.2251</v>
      </c>
      <c r="AV87" s="68">
        <f>ROUNDUP($AZ$87*$L$28,2)</f>
        <v>0</v>
      </c>
      <c r="AW87" s="68">
        <f>ROUNDUP($BA$87*$L$29,2)</f>
        <v>0</v>
      </c>
      <c r="AX87" s="68">
        <f>ROUNDUP($BB$87*$L$28,2)</f>
        <v>0</v>
      </c>
      <c r="AY87" s="68">
        <f>ROUNDUP($BC$87*$L$29,2)</f>
        <v>0</v>
      </c>
      <c r="AZ87" s="68">
        <f>ROUNDUP($AZ$88,2)</f>
        <v>0</v>
      </c>
      <c r="BA87" s="68">
        <f>ROUNDUP($BA$88,2)</f>
        <v>0</v>
      </c>
      <c r="BB87" s="68">
        <f>ROUNDUP($BB$88,2)</f>
        <v>0</v>
      </c>
      <c r="BC87" s="68">
        <f>ROUNDUP($BC$88,2)</f>
        <v>0</v>
      </c>
      <c r="BD87" s="70">
        <f>ROUNDUP($BD$88,2)</f>
        <v>0</v>
      </c>
      <c r="BS87" s="51" t="s">
        <v>70</v>
      </c>
      <c r="BT87" s="51" t="s">
        <v>71</v>
      </c>
      <c r="BU87" s="71" t="s">
        <v>72</v>
      </c>
      <c r="BV87" s="51" t="s">
        <v>73</v>
      </c>
      <c r="BW87" s="51" t="s">
        <v>74</v>
      </c>
      <c r="BX87" s="51" t="s">
        <v>75</v>
      </c>
    </row>
    <row r="88" spans="1:76" s="72" customFormat="1" ht="28.5" customHeight="1">
      <c r="A88" s="154" t="s">
        <v>303</v>
      </c>
      <c r="B88" s="73"/>
      <c r="C88" s="74"/>
      <c r="D88" s="177" t="s">
        <v>76</v>
      </c>
      <c r="E88" s="178"/>
      <c r="F88" s="178"/>
      <c r="G88" s="178"/>
      <c r="H88" s="178"/>
      <c r="I88" s="74"/>
      <c r="J88" s="177" t="s">
        <v>77</v>
      </c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5">
        <f>'1243_01 - Vlastní práce'!$M$27</f>
        <v>0</v>
      </c>
      <c r="AH88" s="176"/>
      <c r="AI88" s="176"/>
      <c r="AJ88" s="176"/>
      <c r="AK88" s="176"/>
      <c r="AL88" s="176"/>
      <c r="AM88" s="176"/>
      <c r="AN88" s="175">
        <f>ROUNDUP(SUM($AG$88,$AT$88),2)</f>
        <v>0</v>
      </c>
      <c r="AO88" s="176"/>
      <c r="AP88" s="176"/>
      <c r="AQ88" s="75"/>
      <c r="AS88" s="76">
        <f>'1243_01 - Vlastní práce'!$M$25</f>
        <v>0</v>
      </c>
      <c r="AT88" s="77">
        <f>ROUNDUP(SUM($AV$88:$AW$88),1)</f>
        <v>0</v>
      </c>
      <c r="AU88" s="78">
        <f>'1243_01 - Vlastní práce'!$W$137</f>
        <v>2773.2250990000002</v>
      </c>
      <c r="AV88" s="77">
        <f>'1243_01 - Vlastní práce'!$M$29</f>
        <v>0</v>
      </c>
      <c r="AW88" s="77">
        <f>'1243_01 - Vlastní práce'!$M$30</f>
        <v>0</v>
      </c>
      <c r="AX88" s="77">
        <f>'1243_01 - Vlastní práce'!$M$31</f>
        <v>0</v>
      </c>
      <c r="AY88" s="77">
        <f>'1243_01 - Vlastní práce'!$M$32</f>
        <v>0</v>
      </c>
      <c r="AZ88" s="77">
        <f>'1243_01 - Vlastní práce'!$H$29</f>
        <v>0</v>
      </c>
      <c r="BA88" s="77">
        <f>'1243_01 - Vlastní práce'!$H$30</f>
        <v>0</v>
      </c>
      <c r="BB88" s="77">
        <f>'1243_01 - Vlastní práce'!$H$31</f>
        <v>0</v>
      </c>
      <c r="BC88" s="77">
        <f>'1243_01 - Vlastní práce'!$H$32</f>
        <v>0</v>
      </c>
      <c r="BD88" s="79">
        <f>'1243_01 - Vlastní práce'!$H$33</f>
        <v>0</v>
      </c>
      <c r="BT88" s="72" t="s">
        <v>78</v>
      </c>
      <c r="BV88" s="72" t="s">
        <v>73</v>
      </c>
      <c r="BW88" s="72" t="s">
        <v>79</v>
      </c>
      <c r="BX88" s="72" t="s">
        <v>74</v>
      </c>
    </row>
    <row r="89" spans="2:43" s="2" customFormat="1" ht="14.25" customHeight="1">
      <c r="B89" s="10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2"/>
    </row>
    <row r="90" spans="2:49" s="6" customFormat="1" ht="30.75" customHeight="1">
      <c r="B90" s="22"/>
      <c r="C90" s="66" t="s">
        <v>80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169">
        <f>ROUNDUP(SUM($AG$91:$AG$103),2)</f>
        <v>0</v>
      </c>
      <c r="AH90" s="166"/>
      <c r="AI90" s="166"/>
      <c r="AJ90" s="166"/>
      <c r="AK90" s="166"/>
      <c r="AL90" s="166"/>
      <c r="AM90" s="166"/>
      <c r="AN90" s="169">
        <f>ROUNDUP(SUM($AN$91:$AN$103),2)</f>
        <v>0</v>
      </c>
      <c r="AO90" s="166"/>
      <c r="AP90" s="166"/>
      <c r="AQ90" s="24"/>
      <c r="AS90" s="61" t="s">
        <v>81</v>
      </c>
      <c r="AT90" s="62" t="s">
        <v>82</v>
      </c>
      <c r="AU90" s="62" t="s">
        <v>35</v>
      </c>
      <c r="AV90" s="63" t="s">
        <v>58</v>
      </c>
      <c r="AW90" s="64"/>
    </row>
    <row r="91" spans="2:89" s="6" customFormat="1" ht="21" customHeight="1">
      <c r="B91" s="22"/>
      <c r="C91" s="23"/>
      <c r="D91" s="80" t="s">
        <v>83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167">
        <f>ROUNDUP($AG$87*$AS$91,2)</f>
        <v>0</v>
      </c>
      <c r="AH91" s="166"/>
      <c r="AI91" s="166"/>
      <c r="AJ91" s="166"/>
      <c r="AK91" s="166"/>
      <c r="AL91" s="166"/>
      <c r="AM91" s="166"/>
      <c r="AN91" s="168">
        <f>ROUNDUP($AG$91+$AV$91,2)</f>
        <v>0</v>
      </c>
      <c r="AO91" s="166"/>
      <c r="AP91" s="166"/>
      <c r="AQ91" s="24"/>
      <c r="AS91" s="81">
        <v>0</v>
      </c>
      <c r="AT91" s="82" t="s">
        <v>84</v>
      </c>
      <c r="AU91" s="82" t="s">
        <v>36</v>
      </c>
      <c r="AV91" s="83">
        <f>ROUNDUP(IF($AU$91="základní",$AG$91*$L$28,IF($AU$91="snížená",$AG$91*$L$29,0)),2)</f>
        <v>0</v>
      </c>
      <c r="BV91" s="6" t="s">
        <v>85</v>
      </c>
      <c r="BY91" s="84">
        <f>IF($AU$91="základní",$AV$91,0)</f>
        <v>0</v>
      </c>
      <c r="BZ91" s="84">
        <f>IF($AU$91="snížená",$AV$91,0)</f>
        <v>0</v>
      </c>
      <c r="CA91" s="84">
        <v>0</v>
      </c>
      <c r="CB91" s="84">
        <v>0</v>
      </c>
      <c r="CC91" s="84">
        <v>0</v>
      </c>
      <c r="CD91" s="84">
        <f>IF($AU$91="základní",$AG$91,0)</f>
        <v>0</v>
      </c>
      <c r="CE91" s="84">
        <f>IF($AU$91="snížená",$AG$91,0)</f>
        <v>0</v>
      </c>
      <c r="CF91" s="84">
        <f>IF($AU$91="zákl. přenesená",$AG$91,0)</f>
        <v>0</v>
      </c>
      <c r="CG91" s="84">
        <f>IF($AU$91="sníž. přenesená",$AG$91,0)</f>
        <v>0</v>
      </c>
      <c r="CH91" s="84">
        <f>IF($AU$91="nulová",$AG$91,0)</f>
        <v>0</v>
      </c>
      <c r="CI91" s="6">
        <f>IF($AU$91="základní",1,IF($AU$91="snížená",2,IF($AU$91="zákl. přenesená",4,IF($AU$91="sníž. přenesená",5,3))))</f>
        <v>1</v>
      </c>
      <c r="CJ91" s="6">
        <f>IF($AT$91="stavební čast",1,IF(8891="investiční čast",2,3))</f>
        <v>1</v>
      </c>
      <c r="CK91" s="6" t="str">
        <f>IF($D$91="Vyplň vlastní","","x")</f>
        <v>x</v>
      </c>
    </row>
    <row r="92" spans="2:89" s="6" customFormat="1" ht="21" customHeight="1">
      <c r="B92" s="22"/>
      <c r="C92" s="23"/>
      <c r="D92" s="80" t="s">
        <v>86</v>
      </c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167">
        <f>ROUNDUP($AG$87*$AS$92,2)</f>
        <v>0</v>
      </c>
      <c r="AH92" s="166"/>
      <c r="AI92" s="166"/>
      <c r="AJ92" s="166"/>
      <c r="AK92" s="166"/>
      <c r="AL92" s="166"/>
      <c r="AM92" s="166"/>
      <c r="AN92" s="168">
        <f>ROUNDUP($AG$92+$AV$92,2)</f>
        <v>0</v>
      </c>
      <c r="AO92" s="166"/>
      <c r="AP92" s="166"/>
      <c r="AQ92" s="24"/>
      <c r="AS92" s="85">
        <v>0</v>
      </c>
      <c r="AT92" s="86" t="s">
        <v>84</v>
      </c>
      <c r="AU92" s="86" t="s">
        <v>36</v>
      </c>
      <c r="AV92" s="87">
        <f>ROUNDUP(IF($AU$92="základní",$AG$92*$L$28,IF($AU$92="snížená",$AG$92*$L$29,0)),2)</f>
        <v>0</v>
      </c>
      <c r="BV92" s="6" t="s">
        <v>85</v>
      </c>
      <c r="BY92" s="84">
        <f>IF($AU$92="základní",$AV$92,0)</f>
        <v>0</v>
      </c>
      <c r="BZ92" s="84">
        <f>IF($AU$92="snížená",$AV$92,0)</f>
        <v>0</v>
      </c>
      <c r="CA92" s="84">
        <v>0</v>
      </c>
      <c r="CB92" s="84">
        <v>0</v>
      </c>
      <c r="CC92" s="84">
        <v>0</v>
      </c>
      <c r="CD92" s="84">
        <f>IF($AU$92="základní",$AG$92,0)</f>
        <v>0</v>
      </c>
      <c r="CE92" s="84">
        <f>IF($AU$92="snížená",$AG$92,0)</f>
        <v>0</v>
      </c>
      <c r="CF92" s="84">
        <f>IF($AU$92="zákl. přenesená",$AG$92,0)</f>
        <v>0</v>
      </c>
      <c r="CG92" s="84">
        <f>IF($AU$92="sníž. přenesená",$AG$92,0)</f>
        <v>0</v>
      </c>
      <c r="CH92" s="84">
        <f>IF($AU$92="nulová",$AG$92,0)</f>
        <v>0</v>
      </c>
      <c r="CI92" s="6">
        <f>IF($AU$92="základní",1,IF($AU$92="snížená",2,IF($AU$92="zákl. přenesená",4,IF($AU$92="sníž. přenesená",5,3))))</f>
        <v>1</v>
      </c>
      <c r="CJ92" s="6">
        <f>IF($AT$92="stavební čast",1,IF(8892="investiční čast",2,3))</f>
        <v>1</v>
      </c>
      <c r="CK92" s="6" t="str">
        <f>IF($D$92="Vyplň vlastní","","x")</f>
        <v>x</v>
      </c>
    </row>
    <row r="93" spans="2:89" s="6" customFormat="1" ht="21" customHeight="1">
      <c r="B93" s="22"/>
      <c r="C93" s="23"/>
      <c r="D93" s="80" t="s">
        <v>87</v>
      </c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167">
        <f>ROUNDUP($AG$87*$AS$93,2)</f>
        <v>0</v>
      </c>
      <c r="AH93" s="166"/>
      <c r="AI93" s="166"/>
      <c r="AJ93" s="166"/>
      <c r="AK93" s="166"/>
      <c r="AL93" s="166"/>
      <c r="AM93" s="166"/>
      <c r="AN93" s="168">
        <f>ROUNDUP($AG$93+$AV$93,2)</f>
        <v>0</v>
      </c>
      <c r="AO93" s="166"/>
      <c r="AP93" s="166"/>
      <c r="AQ93" s="24"/>
      <c r="AS93" s="85">
        <v>0</v>
      </c>
      <c r="AT93" s="86" t="s">
        <v>84</v>
      </c>
      <c r="AU93" s="86" t="s">
        <v>36</v>
      </c>
      <c r="AV93" s="87">
        <f>ROUNDUP(IF($AU$93="základní",$AG$93*$L$28,IF($AU$93="snížená",$AG$93*$L$29,0)),2)</f>
        <v>0</v>
      </c>
      <c r="BV93" s="6" t="s">
        <v>85</v>
      </c>
      <c r="BY93" s="84">
        <f>IF($AU$93="základní",$AV$93,0)</f>
        <v>0</v>
      </c>
      <c r="BZ93" s="84">
        <f>IF($AU$93="snížená",$AV$93,0)</f>
        <v>0</v>
      </c>
      <c r="CA93" s="84">
        <v>0</v>
      </c>
      <c r="CB93" s="84">
        <v>0</v>
      </c>
      <c r="CC93" s="84">
        <v>0</v>
      </c>
      <c r="CD93" s="84">
        <f>IF($AU$93="základní",$AG$93,0)</f>
        <v>0</v>
      </c>
      <c r="CE93" s="84">
        <f>IF($AU$93="snížená",$AG$93,0)</f>
        <v>0</v>
      </c>
      <c r="CF93" s="84">
        <f>IF($AU$93="zákl. přenesená",$AG$93,0)</f>
        <v>0</v>
      </c>
      <c r="CG93" s="84">
        <f>IF($AU$93="sníž. přenesená",$AG$93,0)</f>
        <v>0</v>
      </c>
      <c r="CH93" s="84">
        <f>IF($AU$93="nulová",$AG$93,0)</f>
        <v>0</v>
      </c>
      <c r="CI93" s="6">
        <f>IF($AU$93="základní",1,IF($AU$93="snížená",2,IF($AU$93="zákl. přenesená",4,IF($AU$93="sníž. přenesená",5,3))))</f>
        <v>1</v>
      </c>
      <c r="CJ93" s="6">
        <f>IF($AT$93="stavební čast",1,IF(8893="investiční čast",2,3))</f>
        <v>1</v>
      </c>
      <c r="CK93" s="6" t="str">
        <f>IF($D$93="Vyplň vlastní","","x")</f>
        <v>x</v>
      </c>
    </row>
    <row r="94" spans="2:89" s="6" customFormat="1" ht="21" customHeight="1">
      <c r="B94" s="22"/>
      <c r="C94" s="23"/>
      <c r="D94" s="80" t="s">
        <v>88</v>
      </c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167">
        <f>ROUNDUP($AG$87*$AS$94,2)</f>
        <v>0</v>
      </c>
      <c r="AH94" s="166"/>
      <c r="AI94" s="166"/>
      <c r="AJ94" s="166"/>
      <c r="AK94" s="166"/>
      <c r="AL94" s="166"/>
      <c r="AM94" s="166"/>
      <c r="AN94" s="168">
        <f>ROUNDUP($AG$94+$AV$94,2)</f>
        <v>0</v>
      </c>
      <c r="AO94" s="166"/>
      <c r="AP94" s="166"/>
      <c r="AQ94" s="24"/>
      <c r="AS94" s="85">
        <v>0</v>
      </c>
      <c r="AT94" s="86" t="s">
        <v>84</v>
      </c>
      <c r="AU94" s="86" t="s">
        <v>36</v>
      </c>
      <c r="AV94" s="87">
        <f>ROUNDUP(IF($AU$94="základní",$AG$94*$L$28,IF($AU$94="snížená",$AG$94*$L$29,0)),2)</f>
        <v>0</v>
      </c>
      <c r="BV94" s="6" t="s">
        <v>85</v>
      </c>
      <c r="BY94" s="84">
        <f>IF($AU$94="základní",$AV$94,0)</f>
        <v>0</v>
      </c>
      <c r="BZ94" s="84">
        <f>IF($AU$94="snížená",$AV$94,0)</f>
        <v>0</v>
      </c>
      <c r="CA94" s="84">
        <v>0</v>
      </c>
      <c r="CB94" s="84">
        <v>0</v>
      </c>
      <c r="CC94" s="84">
        <v>0</v>
      </c>
      <c r="CD94" s="84">
        <f>IF($AU$94="základní",$AG$94,0)</f>
        <v>0</v>
      </c>
      <c r="CE94" s="84">
        <f>IF($AU$94="snížená",$AG$94,0)</f>
        <v>0</v>
      </c>
      <c r="CF94" s="84">
        <f>IF($AU$94="zákl. přenesená",$AG$94,0)</f>
        <v>0</v>
      </c>
      <c r="CG94" s="84">
        <f>IF($AU$94="sníž. přenesená",$AG$94,0)</f>
        <v>0</v>
      </c>
      <c r="CH94" s="84">
        <f>IF($AU$94="nulová",$AG$94,0)</f>
        <v>0</v>
      </c>
      <c r="CI94" s="6">
        <f>IF($AU$94="základní",1,IF($AU$94="snížená",2,IF($AU$94="zákl. přenesená",4,IF($AU$94="sníž. přenesená",5,3))))</f>
        <v>1</v>
      </c>
      <c r="CJ94" s="6">
        <f>IF($AT$94="stavební čast",1,IF(8894="investiční čast",2,3))</f>
        <v>1</v>
      </c>
      <c r="CK94" s="6" t="str">
        <f>IF($D$94="Vyplň vlastní","","x")</f>
        <v>x</v>
      </c>
    </row>
    <row r="95" spans="2:89" s="6" customFormat="1" ht="21" customHeight="1">
      <c r="B95" s="22"/>
      <c r="C95" s="23"/>
      <c r="D95" s="80" t="s">
        <v>89</v>
      </c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167">
        <f>ROUNDUP($AG$87*$AS$95,2)</f>
        <v>0</v>
      </c>
      <c r="AH95" s="166"/>
      <c r="AI95" s="166"/>
      <c r="AJ95" s="166"/>
      <c r="AK95" s="166"/>
      <c r="AL95" s="166"/>
      <c r="AM95" s="166"/>
      <c r="AN95" s="168">
        <f>ROUNDUP($AG$95+$AV$95,2)</f>
        <v>0</v>
      </c>
      <c r="AO95" s="166"/>
      <c r="AP95" s="166"/>
      <c r="AQ95" s="24"/>
      <c r="AS95" s="85">
        <v>0</v>
      </c>
      <c r="AT95" s="86" t="s">
        <v>84</v>
      </c>
      <c r="AU95" s="86" t="s">
        <v>36</v>
      </c>
      <c r="AV95" s="87">
        <f>ROUNDUP(IF($AU$95="základní",$AG$95*$L$28,IF($AU$95="snížená",$AG$95*$L$29,0)),2)</f>
        <v>0</v>
      </c>
      <c r="BV95" s="6" t="s">
        <v>85</v>
      </c>
      <c r="BY95" s="84">
        <f>IF($AU$95="základní",$AV$95,0)</f>
        <v>0</v>
      </c>
      <c r="BZ95" s="84">
        <f>IF($AU$95="snížená",$AV$95,0)</f>
        <v>0</v>
      </c>
      <c r="CA95" s="84">
        <v>0</v>
      </c>
      <c r="CB95" s="84">
        <v>0</v>
      </c>
      <c r="CC95" s="84">
        <v>0</v>
      </c>
      <c r="CD95" s="84">
        <f>IF($AU$95="základní",$AG$95,0)</f>
        <v>0</v>
      </c>
      <c r="CE95" s="84">
        <f>IF($AU$95="snížená",$AG$95,0)</f>
        <v>0</v>
      </c>
      <c r="CF95" s="84">
        <f>IF($AU$95="zákl. přenesená",$AG$95,0)</f>
        <v>0</v>
      </c>
      <c r="CG95" s="84">
        <f>IF($AU$95="sníž. přenesená",$AG$95,0)</f>
        <v>0</v>
      </c>
      <c r="CH95" s="84">
        <f>IF($AU$95="nulová",$AG$95,0)</f>
        <v>0</v>
      </c>
      <c r="CI95" s="6">
        <f>IF($AU$95="základní",1,IF($AU$95="snížená",2,IF($AU$95="zákl. přenesená",4,IF($AU$95="sníž. přenesená",5,3))))</f>
        <v>1</v>
      </c>
      <c r="CJ95" s="6">
        <f>IF($AT$95="stavební čast",1,IF(8895="investiční čast",2,3))</f>
        <v>1</v>
      </c>
      <c r="CK95" s="6" t="str">
        <f>IF($D$95="Vyplň vlastní","","x")</f>
        <v>x</v>
      </c>
    </row>
    <row r="96" spans="2:89" s="6" customFormat="1" ht="21" customHeight="1">
      <c r="B96" s="22"/>
      <c r="C96" s="23"/>
      <c r="D96" s="80" t="s">
        <v>90</v>
      </c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167">
        <f>ROUNDUP($AG$87*$AS$96,2)</f>
        <v>0</v>
      </c>
      <c r="AH96" s="166"/>
      <c r="AI96" s="166"/>
      <c r="AJ96" s="166"/>
      <c r="AK96" s="166"/>
      <c r="AL96" s="166"/>
      <c r="AM96" s="166"/>
      <c r="AN96" s="168">
        <f>ROUNDUP($AG$96+$AV$96,2)</f>
        <v>0</v>
      </c>
      <c r="AO96" s="166"/>
      <c r="AP96" s="166"/>
      <c r="AQ96" s="24"/>
      <c r="AS96" s="85">
        <v>0</v>
      </c>
      <c r="AT96" s="86" t="s">
        <v>84</v>
      </c>
      <c r="AU96" s="86" t="s">
        <v>36</v>
      </c>
      <c r="AV96" s="87">
        <f>ROUNDUP(IF($AU$96="základní",$AG$96*$L$28,IF($AU$96="snížená",$AG$96*$L$29,0)),2)</f>
        <v>0</v>
      </c>
      <c r="BV96" s="6" t="s">
        <v>85</v>
      </c>
      <c r="BY96" s="84">
        <f>IF($AU$96="základní",$AV$96,0)</f>
        <v>0</v>
      </c>
      <c r="BZ96" s="84">
        <f>IF($AU$96="snížená",$AV$96,0)</f>
        <v>0</v>
      </c>
      <c r="CA96" s="84">
        <v>0</v>
      </c>
      <c r="CB96" s="84">
        <v>0</v>
      </c>
      <c r="CC96" s="84">
        <v>0</v>
      </c>
      <c r="CD96" s="84">
        <f>IF($AU$96="základní",$AG$96,0)</f>
        <v>0</v>
      </c>
      <c r="CE96" s="84">
        <f>IF($AU$96="snížená",$AG$96,0)</f>
        <v>0</v>
      </c>
      <c r="CF96" s="84">
        <f>IF($AU$96="zákl. přenesená",$AG$96,0)</f>
        <v>0</v>
      </c>
      <c r="CG96" s="84">
        <f>IF($AU$96="sníž. přenesená",$AG$96,0)</f>
        <v>0</v>
      </c>
      <c r="CH96" s="84">
        <f>IF($AU$96="nulová",$AG$96,0)</f>
        <v>0</v>
      </c>
      <c r="CI96" s="6">
        <f>IF($AU$96="základní",1,IF($AU$96="snížená",2,IF($AU$96="zákl. přenesená",4,IF($AU$96="sníž. přenesená",5,3))))</f>
        <v>1</v>
      </c>
      <c r="CJ96" s="6">
        <f>IF($AT$96="stavební čast",1,IF(8896="investiční čast",2,3))</f>
        <v>1</v>
      </c>
      <c r="CK96" s="6" t="str">
        <f>IF($D$96="Vyplň vlastní","","x")</f>
        <v>x</v>
      </c>
    </row>
    <row r="97" spans="2:89" s="6" customFormat="1" ht="21" customHeight="1">
      <c r="B97" s="22"/>
      <c r="C97" s="23"/>
      <c r="D97" s="80" t="s">
        <v>91</v>
      </c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167">
        <f>ROUNDUP($AG$87*$AS$97,2)</f>
        <v>0</v>
      </c>
      <c r="AH97" s="166"/>
      <c r="AI97" s="166"/>
      <c r="AJ97" s="166"/>
      <c r="AK97" s="166"/>
      <c r="AL97" s="166"/>
      <c r="AM97" s="166"/>
      <c r="AN97" s="168">
        <f>ROUNDUP($AG$97+$AV$97,2)</f>
        <v>0</v>
      </c>
      <c r="AO97" s="166"/>
      <c r="AP97" s="166"/>
      <c r="AQ97" s="24"/>
      <c r="AS97" s="85">
        <v>0</v>
      </c>
      <c r="AT97" s="86" t="s">
        <v>84</v>
      </c>
      <c r="AU97" s="86" t="s">
        <v>36</v>
      </c>
      <c r="AV97" s="87">
        <f>ROUNDUP(IF($AU$97="základní",$AG$97*$L$28,IF($AU$97="snížená",$AG$97*$L$29,0)),2)</f>
        <v>0</v>
      </c>
      <c r="BV97" s="6" t="s">
        <v>85</v>
      </c>
      <c r="BY97" s="84">
        <f>IF($AU$97="základní",$AV$97,0)</f>
        <v>0</v>
      </c>
      <c r="BZ97" s="84">
        <f>IF($AU$97="snížená",$AV$97,0)</f>
        <v>0</v>
      </c>
      <c r="CA97" s="84">
        <v>0</v>
      </c>
      <c r="CB97" s="84">
        <v>0</v>
      </c>
      <c r="CC97" s="84">
        <v>0</v>
      </c>
      <c r="CD97" s="84">
        <f>IF($AU$97="základní",$AG$97,0)</f>
        <v>0</v>
      </c>
      <c r="CE97" s="84">
        <f>IF($AU$97="snížená",$AG$97,0)</f>
        <v>0</v>
      </c>
      <c r="CF97" s="84">
        <f>IF($AU$97="zákl. přenesená",$AG$97,0)</f>
        <v>0</v>
      </c>
      <c r="CG97" s="84">
        <f>IF($AU$97="sníž. přenesená",$AG$97,0)</f>
        <v>0</v>
      </c>
      <c r="CH97" s="84">
        <f>IF($AU$97="nulová",$AG$97,0)</f>
        <v>0</v>
      </c>
      <c r="CI97" s="6">
        <f>IF($AU$97="základní",1,IF($AU$97="snížená",2,IF($AU$97="zákl. přenesená",4,IF($AU$97="sníž. přenesená",5,3))))</f>
        <v>1</v>
      </c>
      <c r="CJ97" s="6">
        <f>IF($AT$97="stavební čast",1,IF(8897="investiční čast",2,3))</f>
        <v>1</v>
      </c>
      <c r="CK97" s="6" t="str">
        <f>IF($D$97="Vyplň vlastní","","x")</f>
        <v>x</v>
      </c>
    </row>
    <row r="98" spans="2:89" s="6" customFormat="1" ht="21" customHeight="1">
      <c r="B98" s="22"/>
      <c r="C98" s="23"/>
      <c r="D98" s="80" t="s">
        <v>92</v>
      </c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167">
        <f>ROUNDUP($AG$87*$AS$98,2)</f>
        <v>0</v>
      </c>
      <c r="AH98" s="166"/>
      <c r="AI98" s="166"/>
      <c r="AJ98" s="166"/>
      <c r="AK98" s="166"/>
      <c r="AL98" s="166"/>
      <c r="AM98" s="166"/>
      <c r="AN98" s="168">
        <f>ROUNDUP($AG$98+$AV$98,2)</f>
        <v>0</v>
      </c>
      <c r="AO98" s="166"/>
      <c r="AP98" s="166"/>
      <c r="AQ98" s="24"/>
      <c r="AS98" s="85">
        <v>0</v>
      </c>
      <c r="AT98" s="86" t="s">
        <v>84</v>
      </c>
      <c r="AU98" s="86" t="s">
        <v>36</v>
      </c>
      <c r="AV98" s="87">
        <f>ROUNDUP(IF($AU$98="základní",$AG$98*$L$28,IF($AU$98="snížená",$AG$98*$L$29,0)),2)</f>
        <v>0</v>
      </c>
      <c r="BV98" s="6" t="s">
        <v>85</v>
      </c>
      <c r="BY98" s="84">
        <f>IF($AU$98="základní",$AV$98,0)</f>
        <v>0</v>
      </c>
      <c r="BZ98" s="84">
        <f>IF($AU$98="snížená",$AV$98,0)</f>
        <v>0</v>
      </c>
      <c r="CA98" s="84">
        <v>0</v>
      </c>
      <c r="CB98" s="84">
        <v>0</v>
      </c>
      <c r="CC98" s="84">
        <v>0</v>
      </c>
      <c r="CD98" s="84">
        <f>IF($AU$98="základní",$AG$98,0)</f>
        <v>0</v>
      </c>
      <c r="CE98" s="84">
        <f>IF($AU$98="snížená",$AG$98,0)</f>
        <v>0</v>
      </c>
      <c r="CF98" s="84">
        <f>IF($AU$98="zákl. přenesená",$AG$98,0)</f>
        <v>0</v>
      </c>
      <c r="CG98" s="84">
        <f>IF($AU$98="sníž. přenesená",$AG$98,0)</f>
        <v>0</v>
      </c>
      <c r="CH98" s="84">
        <f>IF($AU$98="nulová",$AG$98,0)</f>
        <v>0</v>
      </c>
      <c r="CI98" s="6">
        <f>IF($AU$98="základní",1,IF($AU$98="snížená",2,IF($AU$98="zákl. přenesená",4,IF($AU$98="sníž. přenesená",5,3))))</f>
        <v>1</v>
      </c>
      <c r="CJ98" s="6">
        <f>IF($AT$98="stavební čast",1,IF(8898="investiční čast",2,3))</f>
        <v>1</v>
      </c>
      <c r="CK98" s="6" t="str">
        <f>IF($D$98="Vyplň vlastní","","x")</f>
        <v>x</v>
      </c>
    </row>
    <row r="99" spans="2:89" s="6" customFormat="1" ht="21" customHeight="1">
      <c r="B99" s="22"/>
      <c r="C99" s="23"/>
      <c r="D99" s="80" t="s">
        <v>93</v>
      </c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167">
        <f>ROUNDUP($AG$87*$AS$99,2)</f>
        <v>0</v>
      </c>
      <c r="AH99" s="166"/>
      <c r="AI99" s="166"/>
      <c r="AJ99" s="166"/>
      <c r="AK99" s="166"/>
      <c r="AL99" s="166"/>
      <c r="AM99" s="166"/>
      <c r="AN99" s="168">
        <f>ROUNDUP($AG$99+$AV$99,2)</f>
        <v>0</v>
      </c>
      <c r="AO99" s="166"/>
      <c r="AP99" s="166"/>
      <c r="AQ99" s="24"/>
      <c r="AS99" s="85">
        <v>0</v>
      </c>
      <c r="AT99" s="86" t="s">
        <v>84</v>
      </c>
      <c r="AU99" s="86" t="s">
        <v>36</v>
      </c>
      <c r="AV99" s="87">
        <f>ROUNDUP(IF($AU$99="základní",$AG$99*$L$28,IF($AU$99="snížená",$AG$99*$L$29,0)),2)</f>
        <v>0</v>
      </c>
      <c r="BV99" s="6" t="s">
        <v>85</v>
      </c>
      <c r="BY99" s="84">
        <f>IF($AU$99="základní",$AV$99,0)</f>
        <v>0</v>
      </c>
      <c r="BZ99" s="84">
        <f>IF($AU$99="snížená",$AV$99,0)</f>
        <v>0</v>
      </c>
      <c r="CA99" s="84">
        <v>0</v>
      </c>
      <c r="CB99" s="84">
        <v>0</v>
      </c>
      <c r="CC99" s="84">
        <v>0</v>
      </c>
      <c r="CD99" s="84">
        <f>IF($AU$99="základní",$AG$99,0)</f>
        <v>0</v>
      </c>
      <c r="CE99" s="84">
        <f>IF($AU$99="snížená",$AG$99,0)</f>
        <v>0</v>
      </c>
      <c r="CF99" s="84">
        <f>IF($AU$99="zákl. přenesená",$AG$99,0)</f>
        <v>0</v>
      </c>
      <c r="CG99" s="84">
        <f>IF($AU$99="sníž. přenesená",$AG$99,0)</f>
        <v>0</v>
      </c>
      <c r="CH99" s="84">
        <f>IF($AU$99="nulová",$AG$99,0)</f>
        <v>0</v>
      </c>
      <c r="CI99" s="6">
        <f>IF($AU$99="základní",1,IF($AU$99="snížená",2,IF($AU$99="zákl. přenesená",4,IF($AU$99="sníž. přenesená",5,3))))</f>
        <v>1</v>
      </c>
      <c r="CJ99" s="6">
        <f>IF($AT$99="stavební čast",1,IF(8899="investiční čast",2,3))</f>
        <v>1</v>
      </c>
      <c r="CK99" s="6" t="str">
        <f>IF($D$99="Vyplň vlastní","","x")</f>
        <v>x</v>
      </c>
    </row>
    <row r="100" spans="2:89" s="6" customFormat="1" ht="21" customHeight="1">
      <c r="B100" s="22"/>
      <c r="C100" s="23"/>
      <c r="D100" s="80" t="s">
        <v>94</v>
      </c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167">
        <f>ROUNDUP($AG$87*$AS$100,2)</f>
        <v>0</v>
      </c>
      <c r="AH100" s="166"/>
      <c r="AI100" s="166"/>
      <c r="AJ100" s="166"/>
      <c r="AK100" s="166"/>
      <c r="AL100" s="166"/>
      <c r="AM100" s="166"/>
      <c r="AN100" s="168">
        <f>ROUNDUP($AG$100+$AV$100,2)</f>
        <v>0</v>
      </c>
      <c r="AO100" s="166"/>
      <c r="AP100" s="166"/>
      <c r="AQ100" s="24"/>
      <c r="AS100" s="85">
        <v>0</v>
      </c>
      <c r="AT100" s="86" t="s">
        <v>84</v>
      </c>
      <c r="AU100" s="86" t="s">
        <v>36</v>
      </c>
      <c r="AV100" s="87">
        <f>ROUNDUP(IF($AU$100="základní",$AG$100*$L$28,IF($AU$100="snížená",$AG$100*$L$29,0)),2)</f>
        <v>0</v>
      </c>
      <c r="BV100" s="6" t="s">
        <v>85</v>
      </c>
      <c r="BY100" s="84">
        <f>IF($AU$100="základní",$AV$100,0)</f>
        <v>0</v>
      </c>
      <c r="BZ100" s="84">
        <f>IF($AU$100="snížená",$AV$100,0)</f>
        <v>0</v>
      </c>
      <c r="CA100" s="84">
        <v>0</v>
      </c>
      <c r="CB100" s="84">
        <v>0</v>
      </c>
      <c r="CC100" s="84">
        <v>0</v>
      </c>
      <c r="CD100" s="84">
        <f>IF($AU$100="základní",$AG$100,0)</f>
        <v>0</v>
      </c>
      <c r="CE100" s="84">
        <f>IF($AU$100="snížená",$AG$100,0)</f>
        <v>0</v>
      </c>
      <c r="CF100" s="84">
        <f>IF($AU$100="zákl. přenesená",$AG$100,0)</f>
        <v>0</v>
      </c>
      <c r="CG100" s="84">
        <f>IF($AU$100="sníž. přenesená",$AG$100,0)</f>
        <v>0</v>
      </c>
      <c r="CH100" s="84">
        <f>IF($AU$100="nulová",$AG$100,0)</f>
        <v>0</v>
      </c>
      <c r="CI100" s="6">
        <f>IF($AU$100="základní",1,IF($AU$100="snížená",2,IF($AU$100="zákl. přenesená",4,IF($AU$100="sníž. přenesená",5,3))))</f>
        <v>1</v>
      </c>
      <c r="CJ100" s="6">
        <f>IF($AT$100="stavební čast",1,IF(88100="investiční čast",2,3))</f>
        <v>1</v>
      </c>
      <c r="CK100" s="6" t="str">
        <f>IF($D$100="Vyplň vlastní","","x")</f>
        <v>x</v>
      </c>
    </row>
    <row r="101" spans="2:89" s="6" customFormat="1" ht="21" customHeight="1">
      <c r="B101" s="22"/>
      <c r="C101" s="23"/>
      <c r="D101" s="165" t="s">
        <v>95</v>
      </c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23"/>
      <c r="AD101" s="23"/>
      <c r="AE101" s="23"/>
      <c r="AF101" s="23"/>
      <c r="AG101" s="167">
        <f>$AG$87*$AS$101</f>
        <v>0</v>
      </c>
      <c r="AH101" s="166"/>
      <c r="AI101" s="166"/>
      <c r="AJ101" s="166"/>
      <c r="AK101" s="166"/>
      <c r="AL101" s="166"/>
      <c r="AM101" s="166"/>
      <c r="AN101" s="168">
        <f>$AG$101+$AV$101</f>
        <v>0</v>
      </c>
      <c r="AO101" s="166"/>
      <c r="AP101" s="166"/>
      <c r="AQ101" s="24"/>
      <c r="AS101" s="85">
        <v>0</v>
      </c>
      <c r="AT101" s="86" t="s">
        <v>84</v>
      </c>
      <c r="AU101" s="86" t="s">
        <v>36</v>
      </c>
      <c r="AV101" s="87">
        <f>ROUNDUP(IF($AU$101="nulová",0,IF(OR($AU$101="základní",$AU$101="zákl. přenesená"),$AG$101*$L$28,$AG$101*$L$29)),1)</f>
        <v>0</v>
      </c>
      <c r="BV101" s="6" t="s">
        <v>96</v>
      </c>
      <c r="BY101" s="84">
        <f>IF($AU$101="základní",$AV$101,0)</f>
        <v>0</v>
      </c>
      <c r="BZ101" s="84">
        <f>IF($AU$101="snížená",$AV$101,0)</f>
        <v>0</v>
      </c>
      <c r="CA101" s="84">
        <f>IF($AU$101="zákl. přenesená",$AV$101,0)</f>
        <v>0</v>
      </c>
      <c r="CB101" s="84">
        <f>IF($AU$101="sníž. přenesená",$AV$101,0)</f>
        <v>0</v>
      </c>
      <c r="CC101" s="84">
        <f>IF($AU$101="nulová",$AV$101,0)</f>
        <v>0</v>
      </c>
      <c r="CD101" s="84">
        <f>IF($AU$101="základní",$AG$101,0)</f>
        <v>0</v>
      </c>
      <c r="CE101" s="84">
        <f>IF($AU$101="snížená",$AG$101,0)</f>
        <v>0</v>
      </c>
      <c r="CF101" s="84">
        <f>IF($AU$101="zákl. přenesená",$AG$101,0)</f>
        <v>0</v>
      </c>
      <c r="CG101" s="84">
        <f>IF($AU$101="sníž. přenesená",$AG$101,0)</f>
        <v>0</v>
      </c>
      <c r="CH101" s="84">
        <f>IF($AU$101="nulová",$AG$101,0)</f>
        <v>0</v>
      </c>
      <c r="CI101" s="6">
        <f>IF($AU$101="základní",1,IF($AU$101="snížená",2,IF($AU$101="zákl. přenesená",4,IF($AU$101="sníž. přenesená",5,3))))</f>
        <v>1</v>
      </c>
      <c r="CJ101" s="6">
        <f>IF($AT$101="stavební čast",1,IF(88101="investiční čast",2,3))</f>
        <v>1</v>
      </c>
      <c r="CK101" s="6">
        <f>IF($D$101="Vyplň vlastní","","x")</f>
      </c>
    </row>
    <row r="102" spans="2:89" s="6" customFormat="1" ht="21" customHeight="1">
      <c r="B102" s="22"/>
      <c r="C102" s="23"/>
      <c r="D102" s="165" t="s">
        <v>95</v>
      </c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23"/>
      <c r="AD102" s="23"/>
      <c r="AE102" s="23"/>
      <c r="AF102" s="23"/>
      <c r="AG102" s="167">
        <f>$AG$87*$AS$102</f>
        <v>0</v>
      </c>
      <c r="AH102" s="166"/>
      <c r="AI102" s="166"/>
      <c r="AJ102" s="166"/>
      <c r="AK102" s="166"/>
      <c r="AL102" s="166"/>
      <c r="AM102" s="166"/>
      <c r="AN102" s="168">
        <f>$AG$102+$AV$102</f>
        <v>0</v>
      </c>
      <c r="AO102" s="166"/>
      <c r="AP102" s="166"/>
      <c r="AQ102" s="24"/>
      <c r="AS102" s="85">
        <v>0</v>
      </c>
      <c r="AT102" s="86" t="s">
        <v>84</v>
      </c>
      <c r="AU102" s="86" t="s">
        <v>36</v>
      </c>
      <c r="AV102" s="87">
        <f>ROUNDUP(IF($AU$102="nulová",0,IF(OR($AU$102="základní",$AU$102="zákl. přenesená"),$AG$102*$L$28,$AG$102*$L$29)),1)</f>
        <v>0</v>
      </c>
      <c r="BV102" s="6" t="s">
        <v>96</v>
      </c>
      <c r="BY102" s="84">
        <f>IF($AU$102="základní",$AV$102,0)</f>
        <v>0</v>
      </c>
      <c r="BZ102" s="84">
        <f>IF($AU$102="snížená",$AV$102,0)</f>
        <v>0</v>
      </c>
      <c r="CA102" s="84">
        <f>IF($AU$102="zákl. přenesená",$AV$102,0)</f>
        <v>0</v>
      </c>
      <c r="CB102" s="84">
        <f>IF($AU$102="sníž. přenesená",$AV$102,0)</f>
        <v>0</v>
      </c>
      <c r="CC102" s="84">
        <f>IF($AU$102="nulová",$AV$102,0)</f>
        <v>0</v>
      </c>
      <c r="CD102" s="84">
        <f>IF($AU$102="základní",$AG$102,0)</f>
        <v>0</v>
      </c>
      <c r="CE102" s="84">
        <f>IF($AU$102="snížená",$AG$102,0)</f>
        <v>0</v>
      </c>
      <c r="CF102" s="84">
        <f>IF($AU$102="zákl. přenesená",$AG$102,0)</f>
        <v>0</v>
      </c>
      <c r="CG102" s="84">
        <f>IF($AU$102="sníž. přenesená",$AG$102,0)</f>
        <v>0</v>
      </c>
      <c r="CH102" s="84">
        <f>IF($AU$102="nulová",$AG$102,0)</f>
        <v>0</v>
      </c>
      <c r="CI102" s="6">
        <f>IF($AU$102="základní",1,IF($AU$102="snížená",2,IF($AU$102="zákl. přenesená",4,IF($AU$102="sníž. přenesená",5,3))))</f>
        <v>1</v>
      </c>
      <c r="CJ102" s="6">
        <f>IF($AT$102="stavební čast",1,IF(88102="investiční čast",2,3))</f>
        <v>1</v>
      </c>
      <c r="CK102" s="6">
        <f>IF($D$102="Vyplň vlastní","","x")</f>
      </c>
    </row>
    <row r="103" spans="2:89" s="6" customFormat="1" ht="21" customHeight="1">
      <c r="B103" s="22"/>
      <c r="C103" s="23"/>
      <c r="D103" s="165" t="s">
        <v>95</v>
      </c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23"/>
      <c r="AD103" s="23"/>
      <c r="AE103" s="23"/>
      <c r="AF103" s="23"/>
      <c r="AG103" s="167">
        <f>$AG$87*$AS$103</f>
        <v>0</v>
      </c>
      <c r="AH103" s="166"/>
      <c r="AI103" s="166"/>
      <c r="AJ103" s="166"/>
      <c r="AK103" s="166"/>
      <c r="AL103" s="166"/>
      <c r="AM103" s="166"/>
      <c r="AN103" s="168">
        <f>$AG$103+$AV$103</f>
        <v>0</v>
      </c>
      <c r="AO103" s="166"/>
      <c r="AP103" s="166"/>
      <c r="AQ103" s="24"/>
      <c r="AS103" s="88">
        <v>0</v>
      </c>
      <c r="AT103" s="89" t="s">
        <v>84</v>
      </c>
      <c r="AU103" s="89" t="s">
        <v>36</v>
      </c>
      <c r="AV103" s="90">
        <f>ROUNDUP(IF($AU$103="nulová",0,IF(OR($AU$103="základní",$AU$103="zákl. přenesená"),$AG$103*$L$28,$AG$103*$L$29)),1)</f>
        <v>0</v>
      </c>
      <c r="BV103" s="6" t="s">
        <v>96</v>
      </c>
      <c r="BY103" s="84">
        <f>IF($AU$103="základní",$AV$103,0)</f>
        <v>0</v>
      </c>
      <c r="BZ103" s="84">
        <f>IF($AU$103="snížená",$AV$103,0)</f>
        <v>0</v>
      </c>
      <c r="CA103" s="84">
        <f>IF($AU$103="zákl. přenesená",$AV$103,0)</f>
        <v>0</v>
      </c>
      <c r="CB103" s="84">
        <f>IF($AU$103="sníž. přenesená",$AV$103,0)</f>
        <v>0</v>
      </c>
      <c r="CC103" s="84">
        <f>IF($AU$103="nulová",$AV$103,0)</f>
        <v>0</v>
      </c>
      <c r="CD103" s="84">
        <f>IF($AU$103="základní",$AG$103,0)</f>
        <v>0</v>
      </c>
      <c r="CE103" s="84">
        <f>IF($AU$103="snížená",$AG$103,0)</f>
        <v>0</v>
      </c>
      <c r="CF103" s="84">
        <f>IF($AU$103="zákl. přenesená",$AG$103,0)</f>
        <v>0</v>
      </c>
      <c r="CG103" s="84">
        <f>IF($AU$103="sníž. přenesená",$AG$103,0)</f>
        <v>0</v>
      </c>
      <c r="CH103" s="84">
        <f>IF($AU$103="nulová",$AG$103,0)</f>
        <v>0</v>
      </c>
      <c r="CI103" s="6">
        <f>IF($AU$103="základní",1,IF($AU$103="snížená",2,IF($AU$103="zákl. přenesená",4,IF($AU$103="sníž. přenesená",5,3))))</f>
        <v>1</v>
      </c>
      <c r="CJ103" s="6">
        <f>IF($AT$103="stavební čast",1,IF(88103="investiční čast",2,3))</f>
        <v>1</v>
      </c>
      <c r="CK103" s="6">
        <f>IF($D$103="Vyplň vlastní","","x")</f>
      </c>
    </row>
    <row r="104" spans="2:43" s="6" customFormat="1" ht="12" customHeight="1">
      <c r="B104" s="22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4"/>
    </row>
    <row r="105" spans="2:43" s="6" customFormat="1" ht="30.75" customHeight="1">
      <c r="B105" s="22"/>
      <c r="C105" s="91" t="s">
        <v>97</v>
      </c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161">
        <f>ROUNDUP($AG$87+$AG$90,2)</f>
        <v>0</v>
      </c>
      <c r="AH105" s="162"/>
      <c r="AI105" s="162"/>
      <c r="AJ105" s="162"/>
      <c r="AK105" s="162"/>
      <c r="AL105" s="162"/>
      <c r="AM105" s="162"/>
      <c r="AN105" s="161">
        <f>ROUNDUP($AN$87+$AN$90,2)</f>
        <v>0</v>
      </c>
      <c r="AO105" s="162"/>
      <c r="AP105" s="162"/>
      <c r="AQ105" s="24"/>
    </row>
    <row r="106" spans="2:43" s="6" customFormat="1" ht="7.5" customHeight="1">
      <c r="B106" s="45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7"/>
    </row>
  </sheetData>
  <sheetProtection password="CC35" sheet="1" objects="1" scenarios="1" formatColumns="0" formatRows="0" sort="0" autoFilter="0"/>
  <mergeCells count="74">
    <mergeCell ref="C2:AP2"/>
    <mergeCell ref="C4:AP4"/>
    <mergeCell ref="BE5:BE34"/>
    <mergeCell ref="K6:AO6"/>
    <mergeCell ref="E14:AJ14"/>
    <mergeCell ref="AK23:AO23"/>
    <mergeCell ref="AK24:AO24"/>
    <mergeCell ref="AK26:AO26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L31:O31"/>
    <mergeCell ref="W31:AE31"/>
    <mergeCell ref="AK31:AO31"/>
    <mergeCell ref="L32:O32"/>
    <mergeCell ref="W32:AE32"/>
    <mergeCell ref="AK32:AO32"/>
    <mergeCell ref="X34:AB34"/>
    <mergeCell ref="AK34:AO34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91:AM91"/>
    <mergeCell ref="AN91:AP91"/>
    <mergeCell ref="AG92:AM92"/>
    <mergeCell ref="AN92:AP92"/>
    <mergeCell ref="AG93:AM93"/>
    <mergeCell ref="AN93:AP93"/>
    <mergeCell ref="AG94:AM94"/>
    <mergeCell ref="AN94:AP94"/>
    <mergeCell ref="AG95:AM95"/>
    <mergeCell ref="AN95:AP95"/>
    <mergeCell ref="AG96:AM96"/>
    <mergeCell ref="AN96:AP96"/>
    <mergeCell ref="AG97:AM97"/>
    <mergeCell ref="AN97:AP97"/>
    <mergeCell ref="AG98:AM98"/>
    <mergeCell ref="AN98:AP98"/>
    <mergeCell ref="AG99:AM99"/>
    <mergeCell ref="AN99:AP99"/>
    <mergeCell ref="AG100:AM100"/>
    <mergeCell ref="AN100:AP100"/>
    <mergeCell ref="D101:AB101"/>
    <mergeCell ref="AG101:AM101"/>
    <mergeCell ref="AN101:AP101"/>
    <mergeCell ref="D102:AB102"/>
    <mergeCell ref="AG102:AM102"/>
    <mergeCell ref="AN102:AP102"/>
    <mergeCell ref="AG105:AM105"/>
    <mergeCell ref="AN105:AP105"/>
    <mergeCell ref="AR2:BE2"/>
    <mergeCell ref="D103:AB103"/>
    <mergeCell ref="AG103:AM103"/>
    <mergeCell ref="AN103:AP103"/>
    <mergeCell ref="AG87:AM87"/>
    <mergeCell ref="AN87:AP87"/>
    <mergeCell ref="AG90:AM90"/>
    <mergeCell ref="AN90:AP90"/>
  </mergeCells>
  <dataValidations count="2">
    <dataValidation type="list" allowBlank="1" showInputMessage="1" showErrorMessage="1" error="Povoleny jsou hodnoty základní, snížená, zákl. přenesená, sníž. přenesená, nulová." sqref="AU91:AU104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1:AT104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1243_01 - Vlastní práce'!C2" tooltip="1243/01 - Vlastní práce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7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1"/>
  <sheetViews>
    <sheetView showGridLines="0" tabSelected="1" zoomScale="90" zoomScaleNormal="90" zoomScalePageLayoutView="0" workbookViewId="0" topLeftCell="A1">
      <pane ySplit="1" topLeftCell="A190" activePane="bottomLeft" state="frozen"/>
      <selection pane="topLeft" activeCell="A1" sqref="A1"/>
      <selection pane="bottomLeft" activeCell="F204" sqref="F204:I204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59"/>
      <c r="B1" s="156"/>
      <c r="C1" s="156"/>
      <c r="D1" s="157" t="s">
        <v>1</v>
      </c>
      <c r="E1" s="156"/>
      <c r="F1" s="158" t="s">
        <v>304</v>
      </c>
      <c r="G1" s="158"/>
      <c r="H1" s="200" t="s">
        <v>305</v>
      </c>
      <c r="I1" s="200"/>
      <c r="J1" s="200"/>
      <c r="K1" s="200"/>
      <c r="L1" s="158" t="s">
        <v>306</v>
      </c>
      <c r="M1" s="156"/>
      <c r="N1" s="156"/>
      <c r="O1" s="157" t="s">
        <v>98</v>
      </c>
      <c r="P1" s="156"/>
      <c r="Q1" s="156"/>
      <c r="R1" s="156"/>
      <c r="S1" s="158" t="s">
        <v>307</v>
      </c>
      <c r="T1" s="158"/>
      <c r="U1" s="159"/>
      <c r="V1" s="159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92" t="s">
        <v>4</v>
      </c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S2" s="163" t="s">
        <v>5</v>
      </c>
      <c r="T2" s="164"/>
      <c r="U2" s="164"/>
      <c r="V2" s="164"/>
      <c r="W2" s="164"/>
      <c r="X2" s="164"/>
      <c r="Y2" s="164"/>
      <c r="Z2" s="164"/>
      <c r="AA2" s="164"/>
      <c r="AB2" s="164"/>
      <c r="AC2" s="164"/>
      <c r="AT2" s="2" t="s">
        <v>79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99</v>
      </c>
    </row>
    <row r="4" spans="2:46" s="2" customFormat="1" ht="37.5" customHeight="1">
      <c r="B4" s="10"/>
      <c r="C4" s="181" t="s">
        <v>100</v>
      </c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2"/>
      <c r="T4" s="13" t="s">
        <v>10</v>
      </c>
      <c r="AT4" s="2" t="s">
        <v>3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15.75" customHeight="1">
      <c r="B6" s="10"/>
      <c r="C6" s="11"/>
      <c r="D6" s="16" t="s">
        <v>14</v>
      </c>
      <c r="E6" s="11"/>
      <c r="F6" s="221" t="str">
        <f>'Rekapitulace stavby'!$K$6</f>
        <v>1243 - ZŠ Lidická - oprava klempířských prvků</v>
      </c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1"/>
      <c r="R6" s="12"/>
    </row>
    <row r="7" spans="2:18" s="6" customFormat="1" ht="18.75" customHeight="1">
      <c r="B7" s="22"/>
      <c r="C7" s="23"/>
      <c r="D7" s="15" t="s">
        <v>101</v>
      </c>
      <c r="E7" s="23"/>
      <c r="F7" s="182" t="s">
        <v>102</v>
      </c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23"/>
      <c r="R7" s="24"/>
    </row>
    <row r="8" spans="2:18" s="6" customFormat="1" ht="7.5" customHeight="1"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4"/>
    </row>
    <row r="9" spans="2:18" s="6" customFormat="1" ht="15" customHeight="1">
      <c r="B9" s="22"/>
      <c r="C9" s="23"/>
      <c r="D9" s="16" t="s">
        <v>16</v>
      </c>
      <c r="E9" s="23"/>
      <c r="F9" s="17" t="s">
        <v>17</v>
      </c>
      <c r="G9" s="23"/>
      <c r="H9" s="23"/>
      <c r="I9" s="23"/>
      <c r="J9" s="23"/>
      <c r="K9" s="23"/>
      <c r="L9" s="23"/>
      <c r="M9" s="16" t="s">
        <v>18</v>
      </c>
      <c r="N9" s="23"/>
      <c r="O9" s="229" t="str">
        <f>'Rekapitulace stavby'!$AN$8</f>
        <v>15.05.2013</v>
      </c>
      <c r="P9" s="166"/>
      <c r="Q9" s="23"/>
      <c r="R9" s="24"/>
    </row>
    <row r="10" spans="2:18" s="6" customFormat="1" ht="7.5" customHeight="1"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4"/>
    </row>
    <row r="11" spans="2:18" s="6" customFormat="1" ht="15" customHeight="1">
      <c r="B11" s="22"/>
      <c r="C11" s="23"/>
      <c r="D11" s="16" t="s">
        <v>20</v>
      </c>
      <c r="E11" s="23"/>
      <c r="F11" s="23"/>
      <c r="G11" s="23"/>
      <c r="H11" s="23"/>
      <c r="I11" s="23"/>
      <c r="J11" s="23"/>
      <c r="K11" s="23"/>
      <c r="L11" s="23"/>
      <c r="M11" s="16" t="s">
        <v>21</v>
      </c>
      <c r="N11" s="23"/>
      <c r="O11" s="183"/>
      <c r="P11" s="166"/>
      <c r="Q11" s="23"/>
      <c r="R11" s="24"/>
    </row>
    <row r="12" spans="2:18" s="6" customFormat="1" ht="18.75" customHeight="1">
      <c r="B12" s="22"/>
      <c r="C12" s="23"/>
      <c r="D12" s="23"/>
      <c r="E12" s="17" t="s">
        <v>23</v>
      </c>
      <c r="F12" s="23"/>
      <c r="G12" s="23"/>
      <c r="H12" s="23"/>
      <c r="I12" s="23"/>
      <c r="J12" s="23"/>
      <c r="K12" s="23"/>
      <c r="L12" s="23"/>
      <c r="M12" s="16" t="s">
        <v>24</v>
      </c>
      <c r="N12" s="23"/>
      <c r="O12" s="183"/>
      <c r="P12" s="166"/>
      <c r="Q12" s="23"/>
      <c r="R12" s="24"/>
    </row>
    <row r="13" spans="2:18" s="6" customFormat="1" ht="7.5" customHeight="1"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4"/>
    </row>
    <row r="14" spans="2:18" s="6" customFormat="1" ht="15" customHeight="1">
      <c r="B14" s="22"/>
      <c r="C14" s="23"/>
      <c r="D14" s="16" t="s">
        <v>25</v>
      </c>
      <c r="E14" s="23"/>
      <c r="F14" s="23"/>
      <c r="G14" s="23"/>
      <c r="H14" s="23"/>
      <c r="I14" s="23"/>
      <c r="J14" s="23"/>
      <c r="K14" s="23"/>
      <c r="L14" s="23"/>
      <c r="M14" s="16" t="s">
        <v>21</v>
      </c>
      <c r="N14" s="23"/>
      <c r="O14" s="228" t="str">
        <f>IF('Rekapitulace stavby'!$AN$13="","",'Rekapitulace stavby'!$AN$13)</f>
        <v>Vyplň údaj</v>
      </c>
      <c r="P14" s="166"/>
      <c r="Q14" s="23"/>
      <c r="R14" s="24"/>
    </row>
    <row r="15" spans="2:18" s="6" customFormat="1" ht="18.75" customHeight="1">
      <c r="B15" s="22"/>
      <c r="C15" s="23"/>
      <c r="D15" s="23"/>
      <c r="E15" s="228" t="str">
        <f>IF('Rekapitulace stavby'!$E$14="","",'Rekapitulace stavby'!$E$14)</f>
        <v>Vyplň údaj</v>
      </c>
      <c r="F15" s="166"/>
      <c r="G15" s="166"/>
      <c r="H15" s="166"/>
      <c r="I15" s="166"/>
      <c r="J15" s="166"/>
      <c r="K15" s="166"/>
      <c r="L15" s="166"/>
      <c r="M15" s="16" t="s">
        <v>24</v>
      </c>
      <c r="N15" s="23"/>
      <c r="O15" s="228" t="str">
        <f>IF('Rekapitulace stavby'!$AN$14="","",'Rekapitulace stavby'!$AN$14)</f>
        <v>Vyplň údaj</v>
      </c>
      <c r="P15" s="166"/>
      <c r="Q15" s="23"/>
      <c r="R15" s="24"/>
    </row>
    <row r="16" spans="2:18" s="6" customFormat="1" ht="7.5" customHeight="1"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4"/>
    </row>
    <row r="17" spans="2:18" s="6" customFormat="1" ht="15" customHeight="1">
      <c r="B17" s="22"/>
      <c r="C17" s="23"/>
      <c r="D17" s="16" t="s">
        <v>27</v>
      </c>
      <c r="E17" s="23"/>
      <c r="F17" s="23"/>
      <c r="G17" s="23"/>
      <c r="H17" s="23"/>
      <c r="I17" s="23"/>
      <c r="J17" s="23"/>
      <c r="K17" s="23"/>
      <c r="L17" s="23"/>
      <c r="M17" s="16" t="s">
        <v>21</v>
      </c>
      <c r="N17" s="23"/>
      <c r="O17" s="183"/>
      <c r="P17" s="166"/>
      <c r="Q17" s="23"/>
      <c r="R17" s="24"/>
    </row>
    <row r="18" spans="2:18" s="6" customFormat="1" ht="18.75" customHeight="1">
      <c r="B18" s="22"/>
      <c r="C18" s="23"/>
      <c r="D18" s="23"/>
      <c r="E18" s="17" t="s">
        <v>28</v>
      </c>
      <c r="F18" s="23"/>
      <c r="G18" s="23"/>
      <c r="H18" s="23"/>
      <c r="I18" s="23"/>
      <c r="J18" s="23"/>
      <c r="K18" s="23"/>
      <c r="L18" s="23"/>
      <c r="M18" s="16" t="s">
        <v>24</v>
      </c>
      <c r="N18" s="23"/>
      <c r="O18" s="183"/>
      <c r="P18" s="166"/>
      <c r="Q18" s="23"/>
      <c r="R18" s="24"/>
    </row>
    <row r="19" spans="2:18" s="6" customFormat="1" ht="7.5" customHeight="1"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4"/>
    </row>
    <row r="20" spans="2:18" s="6" customFormat="1" ht="15" customHeight="1">
      <c r="B20" s="22"/>
      <c r="C20" s="23"/>
      <c r="D20" s="16" t="s">
        <v>30</v>
      </c>
      <c r="E20" s="23"/>
      <c r="F20" s="23"/>
      <c r="G20" s="23"/>
      <c r="H20" s="23"/>
      <c r="I20" s="23"/>
      <c r="J20" s="23"/>
      <c r="K20" s="23"/>
      <c r="L20" s="23"/>
      <c r="M20" s="16" t="s">
        <v>21</v>
      </c>
      <c r="N20" s="23"/>
      <c r="O20" s="183">
        <f>IF('Rekapitulace stavby'!$AN$19="","",'Rekapitulace stavby'!$AN$19)</f>
      </c>
      <c r="P20" s="166"/>
      <c r="Q20" s="23"/>
      <c r="R20" s="24"/>
    </row>
    <row r="21" spans="2:18" s="6" customFormat="1" ht="18.75" customHeight="1">
      <c r="B21" s="22"/>
      <c r="C21" s="23"/>
      <c r="D21" s="23"/>
      <c r="E21" s="17" t="str">
        <f>IF('Rekapitulace stavby'!$E$20="","",'Rekapitulace stavby'!$E$20)</f>
        <v> </v>
      </c>
      <c r="F21" s="23"/>
      <c r="G21" s="23"/>
      <c r="H21" s="23"/>
      <c r="I21" s="23"/>
      <c r="J21" s="23"/>
      <c r="K21" s="23"/>
      <c r="L21" s="23"/>
      <c r="M21" s="16" t="s">
        <v>24</v>
      </c>
      <c r="N21" s="23"/>
      <c r="O21" s="183">
        <f>IF('Rekapitulace stavby'!$AN$20="","",'Rekapitulace stavby'!$AN$20)</f>
      </c>
      <c r="P21" s="166"/>
      <c r="Q21" s="23"/>
      <c r="R21" s="24"/>
    </row>
    <row r="22" spans="2:18" s="6" customFormat="1" ht="7.5" customHeight="1"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4"/>
    </row>
    <row r="23" spans="2:18" s="6" customFormat="1" ht="7.5" customHeight="1">
      <c r="B23" s="22"/>
      <c r="C23" s="23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23"/>
      <c r="R23" s="24"/>
    </row>
    <row r="24" spans="2:18" s="6" customFormat="1" ht="15" customHeight="1">
      <c r="B24" s="22"/>
      <c r="C24" s="23"/>
      <c r="D24" s="92" t="s">
        <v>103</v>
      </c>
      <c r="E24" s="23"/>
      <c r="F24" s="23"/>
      <c r="G24" s="23"/>
      <c r="H24" s="23"/>
      <c r="I24" s="23"/>
      <c r="J24" s="23"/>
      <c r="K24" s="23"/>
      <c r="L24" s="23"/>
      <c r="M24" s="197">
        <f>$N$88</f>
        <v>0</v>
      </c>
      <c r="N24" s="166"/>
      <c r="O24" s="166"/>
      <c r="P24" s="166"/>
      <c r="Q24" s="23"/>
      <c r="R24" s="24"/>
    </row>
    <row r="25" spans="2:18" s="6" customFormat="1" ht="15" customHeight="1">
      <c r="B25" s="22"/>
      <c r="C25" s="23"/>
      <c r="D25" s="21" t="s">
        <v>90</v>
      </c>
      <c r="E25" s="23"/>
      <c r="F25" s="23"/>
      <c r="G25" s="23"/>
      <c r="H25" s="23"/>
      <c r="I25" s="23"/>
      <c r="J25" s="23"/>
      <c r="K25" s="23"/>
      <c r="L25" s="23"/>
      <c r="M25" s="197">
        <f>$N$112</f>
        <v>0</v>
      </c>
      <c r="N25" s="166"/>
      <c r="O25" s="166"/>
      <c r="P25" s="166"/>
      <c r="Q25" s="23"/>
      <c r="R25" s="24"/>
    </row>
    <row r="26" spans="2:18" s="6" customFormat="1" ht="7.5" customHeight="1"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4"/>
    </row>
    <row r="27" spans="2:18" s="6" customFormat="1" ht="26.25" customHeight="1">
      <c r="B27" s="22"/>
      <c r="C27" s="23"/>
      <c r="D27" s="93" t="s">
        <v>34</v>
      </c>
      <c r="E27" s="23"/>
      <c r="F27" s="23"/>
      <c r="G27" s="23"/>
      <c r="H27" s="23"/>
      <c r="I27" s="23"/>
      <c r="J27" s="23"/>
      <c r="K27" s="23"/>
      <c r="L27" s="23"/>
      <c r="M27" s="227">
        <f>ROUNDUP($M$24+$M$25,2)</f>
        <v>0</v>
      </c>
      <c r="N27" s="166"/>
      <c r="O27" s="166"/>
      <c r="P27" s="166"/>
      <c r="Q27" s="23"/>
      <c r="R27" s="24"/>
    </row>
    <row r="28" spans="2:18" s="6" customFormat="1" ht="7.5" customHeight="1">
      <c r="B28" s="22"/>
      <c r="C28" s="23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23"/>
      <c r="R28" s="24"/>
    </row>
    <row r="29" spans="2:18" s="6" customFormat="1" ht="15" customHeight="1">
      <c r="B29" s="22"/>
      <c r="C29" s="23"/>
      <c r="D29" s="28" t="s">
        <v>35</v>
      </c>
      <c r="E29" s="28" t="s">
        <v>36</v>
      </c>
      <c r="F29" s="29">
        <v>0.21</v>
      </c>
      <c r="G29" s="94" t="s">
        <v>37</v>
      </c>
      <c r="H29" s="226">
        <f>ROUNDUP((((SUM($BE$112:$BE$119)+SUM($BE$137:$BE$204))+SUM($BE$206:$BE$210))),2)</f>
        <v>0</v>
      </c>
      <c r="I29" s="166"/>
      <c r="J29" s="166"/>
      <c r="K29" s="23"/>
      <c r="L29" s="23"/>
      <c r="M29" s="226">
        <f>ROUNDUP((((SUM($BE$112:$BE$119)+SUM($BE$137:$BE$204))*$F$29)+SUM($BE$206:$BE$210)*$F$29),1)</f>
        <v>0</v>
      </c>
      <c r="N29" s="166"/>
      <c r="O29" s="166"/>
      <c r="P29" s="166"/>
      <c r="Q29" s="23"/>
      <c r="R29" s="24"/>
    </row>
    <row r="30" spans="2:18" s="6" customFormat="1" ht="15" customHeight="1">
      <c r="B30" s="22"/>
      <c r="C30" s="23"/>
      <c r="D30" s="23"/>
      <c r="E30" s="28" t="s">
        <v>38</v>
      </c>
      <c r="F30" s="29">
        <v>0.15</v>
      </c>
      <c r="G30" s="94" t="s">
        <v>37</v>
      </c>
      <c r="H30" s="226">
        <f>ROUNDUP((((SUM($BF$112:$BF$119)+SUM($BF$137:$BF$204))+SUM($BF$206:$BF$210))),2)</f>
        <v>0</v>
      </c>
      <c r="I30" s="166"/>
      <c r="J30" s="166"/>
      <c r="K30" s="23"/>
      <c r="L30" s="23"/>
      <c r="M30" s="226">
        <f>ROUNDUP((((SUM($BF$112:$BF$119)+SUM($BF$137:$BF$204))*$F$30)+SUM($BF$206:$BF$210)*$F$30),1)</f>
        <v>0</v>
      </c>
      <c r="N30" s="166"/>
      <c r="O30" s="166"/>
      <c r="P30" s="166"/>
      <c r="Q30" s="23"/>
      <c r="R30" s="24"/>
    </row>
    <row r="31" spans="2:18" s="6" customFormat="1" ht="15" customHeight="1" hidden="1">
      <c r="B31" s="22"/>
      <c r="C31" s="23"/>
      <c r="D31" s="23"/>
      <c r="E31" s="28" t="s">
        <v>39</v>
      </c>
      <c r="F31" s="29">
        <v>0.21</v>
      </c>
      <c r="G31" s="94" t="s">
        <v>37</v>
      </c>
      <c r="H31" s="226">
        <f>ROUNDUP((((SUM($BG$112:$BG$119)+SUM($BG$137:$BG$204))+SUM($BG$206:$BG$210))),2)</f>
        <v>0</v>
      </c>
      <c r="I31" s="166"/>
      <c r="J31" s="166"/>
      <c r="K31" s="23"/>
      <c r="L31" s="23"/>
      <c r="M31" s="226">
        <v>0</v>
      </c>
      <c r="N31" s="166"/>
      <c r="O31" s="166"/>
      <c r="P31" s="166"/>
      <c r="Q31" s="23"/>
      <c r="R31" s="24"/>
    </row>
    <row r="32" spans="2:18" s="6" customFormat="1" ht="15" customHeight="1" hidden="1">
      <c r="B32" s="22"/>
      <c r="C32" s="23"/>
      <c r="D32" s="23"/>
      <c r="E32" s="28" t="s">
        <v>40</v>
      </c>
      <c r="F32" s="29">
        <v>0.15</v>
      </c>
      <c r="G32" s="94" t="s">
        <v>37</v>
      </c>
      <c r="H32" s="226">
        <f>ROUNDUP((((SUM($BH$112:$BH$119)+SUM($BH$137:$BH$204))+SUM($BH$206:$BH$210))),2)</f>
        <v>0</v>
      </c>
      <c r="I32" s="166"/>
      <c r="J32" s="166"/>
      <c r="K32" s="23"/>
      <c r="L32" s="23"/>
      <c r="M32" s="226">
        <v>0</v>
      </c>
      <c r="N32" s="166"/>
      <c r="O32" s="166"/>
      <c r="P32" s="166"/>
      <c r="Q32" s="23"/>
      <c r="R32" s="24"/>
    </row>
    <row r="33" spans="2:18" s="6" customFormat="1" ht="15" customHeight="1" hidden="1">
      <c r="B33" s="22"/>
      <c r="C33" s="23"/>
      <c r="D33" s="23"/>
      <c r="E33" s="28" t="s">
        <v>41</v>
      </c>
      <c r="F33" s="29">
        <v>0</v>
      </c>
      <c r="G33" s="94" t="s">
        <v>37</v>
      </c>
      <c r="H33" s="226">
        <f>ROUNDUP((((SUM($BI$112:$BI$119)+SUM($BI$137:$BI$204))+SUM($BI$206:$BI$210))),2)</f>
        <v>0</v>
      </c>
      <c r="I33" s="166"/>
      <c r="J33" s="166"/>
      <c r="K33" s="23"/>
      <c r="L33" s="23"/>
      <c r="M33" s="226">
        <v>0</v>
      </c>
      <c r="N33" s="166"/>
      <c r="O33" s="166"/>
      <c r="P33" s="166"/>
      <c r="Q33" s="23"/>
      <c r="R33" s="24"/>
    </row>
    <row r="34" spans="2:18" s="6" customFormat="1" ht="7.5" customHeight="1">
      <c r="B34" s="2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4"/>
    </row>
    <row r="35" spans="2:18" s="6" customFormat="1" ht="26.25" customHeight="1">
      <c r="B35" s="22"/>
      <c r="C35" s="32"/>
      <c r="D35" s="33" t="s">
        <v>42</v>
      </c>
      <c r="E35" s="34"/>
      <c r="F35" s="34"/>
      <c r="G35" s="95" t="s">
        <v>43</v>
      </c>
      <c r="H35" s="35" t="s">
        <v>44</v>
      </c>
      <c r="I35" s="34"/>
      <c r="J35" s="34"/>
      <c r="K35" s="34"/>
      <c r="L35" s="180">
        <f>ROUNDUP(SUM($M$27:$M$33),2)</f>
        <v>0</v>
      </c>
      <c r="M35" s="172"/>
      <c r="N35" s="172"/>
      <c r="O35" s="172"/>
      <c r="P35" s="174"/>
      <c r="Q35" s="32"/>
      <c r="R35" s="24"/>
    </row>
    <row r="36" spans="2:18" s="6" customFormat="1" ht="15" customHeight="1"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4"/>
    </row>
    <row r="37" spans="2:18" s="6" customFormat="1" ht="15" customHeight="1"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4"/>
    </row>
    <row r="38" spans="2:18" s="2" customFormat="1" ht="14.25" customHeight="1"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2"/>
    </row>
    <row r="39" spans="2:18" s="2" customFormat="1" ht="14.25" customHeight="1"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2"/>
    </row>
    <row r="40" spans="2:18" s="2" customFormat="1" ht="14.25" customHeight="1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2"/>
    </row>
    <row r="41" spans="2:18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s="2" customFormat="1" ht="14.25" customHeigh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>
      <c r="B50" s="22"/>
      <c r="C50" s="23"/>
      <c r="D50" s="36" t="s">
        <v>45</v>
      </c>
      <c r="E50" s="37"/>
      <c r="F50" s="37"/>
      <c r="G50" s="37"/>
      <c r="H50" s="38"/>
      <c r="I50" s="23"/>
      <c r="J50" s="36" t="s">
        <v>46</v>
      </c>
      <c r="K50" s="37"/>
      <c r="L50" s="37"/>
      <c r="M50" s="37"/>
      <c r="N50" s="37"/>
      <c r="O50" s="37"/>
      <c r="P50" s="38"/>
      <c r="Q50" s="23"/>
      <c r="R50" s="24"/>
    </row>
    <row r="51" spans="2:18" s="2" customFormat="1" ht="14.25" customHeight="1">
      <c r="B51" s="10"/>
      <c r="C51" s="11"/>
      <c r="D51" s="39"/>
      <c r="E51" s="11"/>
      <c r="F51" s="11"/>
      <c r="G51" s="11"/>
      <c r="H51" s="40"/>
      <c r="I51" s="11"/>
      <c r="J51" s="39"/>
      <c r="K51" s="11"/>
      <c r="L51" s="11"/>
      <c r="M51" s="11"/>
      <c r="N51" s="11"/>
      <c r="O51" s="11"/>
      <c r="P51" s="40"/>
      <c r="Q51" s="11"/>
      <c r="R51" s="12"/>
    </row>
    <row r="52" spans="2:18" s="2" customFormat="1" ht="14.25" customHeight="1">
      <c r="B52" s="10"/>
      <c r="C52" s="11"/>
      <c r="D52" s="39"/>
      <c r="E52" s="11"/>
      <c r="F52" s="11"/>
      <c r="G52" s="11"/>
      <c r="H52" s="40"/>
      <c r="I52" s="11"/>
      <c r="J52" s="39"/>
      <c r="K52" s="11"/>
      <c r="L52" s="11"/>
      <c r="M52" s="11"/>
      <c r="N52" s="11"/>
      <c r="O52" s="11"/>
      <c r="P52" s="40"/>
      <c r="Q52" s="11"/>
      <c r="R52" s="12"/>
    </row>
    <row r="53" spans="2:18" s="2" customFormat="1" ht="14.25" customHeight="1">
      <c r="B53" s="10"/>
      <c r="C53" s="11"/>
      <c r="D53" s="39"/>
      <c r="E53" s="11"/>
      <c r="F53" s="11"/>
      <c r="G53" s="11"/>
      <c r="H53" s="40"/>
      <c r="I53" s="11"/>
      <c r="J53" s="39"/>
      <c r="K53" s="11"/>
      <c r="L53" s="11"/>
      <c r="M53" s="11"/>
      <c r="N53" s="11"/>
      <c r="O53" s="11"/>
      <c r="P53" s="40"/>
      <c r="Q53" s="11"/>
      <c r="R53" s="12"/>
    </row>
    <row r="54" spans="2:18" s="2" customFormat="1" ht="14.25" customHeight="1">
      <c r="B54" s="10"/>
      <c r="C54" s="11"/>
      <c r="D54" s="39"/>
      <c r="E54" s="11"/>
      <c r="F54" s="11"/>
      <c r="G54" s="11"/>
      <c r="H54" s="40"/>
      <c r="I54" s="11"/>
      <c r="J54" s="39"/>
      <c r="K54" s="11"/>
      <c r="L54" s="11"/>
      <c r="M54" s="11"/>
      <c r="N54" s="11"/>
      <c r="O54" s="11"/>
      <c r="P54" s="40"/>
      <c r="Q54" s="11"/>
      <c r="R54" s="12"/>
    </row>
    <row r="55" spans="2:18" s="2" customFormat="1" ht="14.25" customHeight="1">
      <c r="B55" s="10"/>
      <c r="C55" s="11"/>
      <c r="D55" s="39"/>
      <c r="E55" s="11"/>
      <c r="F55" s="11"/>
      <c r="G55" s="11"/>
      <c r="H55" s="40"/>
      <c r="I55" s="11"/>
      <c r="J55" s="39"/>
      <c r="K55" s="11"/>
      <c r="L55" s="11"/>
      <c r="M55" s="11"/>
      <c r="N55" s="11"/>
      <c r="O55" s="11"/>
      <c r="P55" s="40"/>
      <c r="Q55" s="11"/>
      <c r="R55" s="12"/>
    </row>
    <row r="56" spans="2:18" s="2" customFormat="1" ht="14.25" customHeight="1">
      <c r="B56" s="10"/>
      <c r="C56" s="11"/>
      <c r="D56" s="39"/>
      <c r="E56" s="11"/>
      <c r="F56" s="11"/>
      <c r="G56" s="11"/>
      <c r="H56" s="40"/>
      <c r="I56" s="11"/>
      <c r="J56" s="39"/>
      <c r="K56" s="11"/>
      <c r="L56" s="11"/>
      <c r="M56" s="11"/>
      <c r="N56" s="11"/>
      <c r="O56" s="11"/>
      <c r="P56" s="40"/>
      <c r="Q56" s="11"/>
      <c r="R56" s="12"/>
    </row>
    <row r="57" spans="2:18" s="2" customFormat="1" ht="14.25" customHeight="1">
      <c r="B57" s="10"/>
      <c r="C57" s="11"/>
      <c r="D57" s="39"/>
      <c r="E57" s="11"/>
      <c r="F57" s="11"/>
      <c r="G57" s="11"/>
      <c r="H57" s="40"/>
      <c r="I57" s="11"/>
      <c r="J57" s="39"/>
      <c r="K57" s="11"/>
      <c r="L57" s="11"/>
      <c r="M57" s="11"/>
      <c r="N57" s="11"/>
      <c r="O57" s="11"/>
      <c r="P57" s="40"/>
      <c r="Q57" s="11"/>
      <c r="R57" s="12"/>
    </row>
    <row r="58" spans="2:18" s="2" customFormat="1" ht="14.25" customHeight="1">
      <c r="B58" s="10"/>
      <c r="C58" s="11"/>
      <c r="D58" s="39"/>
      <c r="E58" s="11"/>
      <c r="F58" s="11"/>
      <c r="G58" s="11"/>
      <c r="H58" s="40"/>
      <c r="I58" s="11"/>
      <c r="J58" s="39"/>
      <c r="K58" s="11"/>
      <c r="L58" s="11"/>
      <c r="M58" s="11"/>
      <c r="N58" s="11"/>
      <c r="O58" s="11"/>
      <c r="P58" s="40"/>
      <c r="Q58" s="11"/>
      <c r="R58" s="12"/>
    </row>
    <row r="59" spans="2:18" s="6" customFormat="1" ht="15.75" customHeight="1">
      <c r="B59" s="22"/>
      <c r="C59" s="23"/>
      <c r="D59" s="41" t="s">
        <v>47</v>
      </c>
      <c r="E59" s="42"/>
      <c r="F59" s="42"/>
      <c r="G59" s="43" t="s">
        <v>48</v>
      </c>
      <c r="H59" s="44"/>
      <c r="I59" s="23"/>
      <c r="J59" s="41" t="s">
        <v>47</v>
      </c>
      <c r="K59" s="42"/>
      <c r="L59" s="42"/>
      <c r="M59" s="42"/>
      <c r="N59" s="43" t="s">
        <v>48</v>
      </c>
      <c r="O59" s="42"/>
      <c r="P59" s="44"/>
      <c r="Q59" s="23"/>
      <c r="R59" s="24"/>
    </row>
    <row r="60" spans="2:18" s="2" customFormat="1" ht="14.25" customHeight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>
      <c r="B61" s="22"/>
      <c r="C61" s="23"/>
      <c r="D61" s="36" t="s">
        <v>49</v>
      </c>
      <c r="E61" s="37"/>
      <c r="F61" s="37"/>
      <c r="G61" s="37"/>
      <c r="H61" s="38"/>
      <c r="I61" s="23"/>
      <c r="J61" s="36" t="s">
        <v>50</v>
      </c>
      <c r="K61" s="37"/>
      <c r="L61" s="37"/>
      <c r="M61" s="37"/>
      <c r="N61" s="37"/>
      <c r="O61" s="37"/>
      <c r="P61" s="38"/>
      <c r="Q61" s="23"/>
      <c r="R61" s="24"/>
    </row>
    <row r="62" spans="2:18" s="2" customFormat="1" ht="14.25" customHeight="1">
      <c r="B62" s="10"/>
      <c r="C62" s="11"/>
      <c r="D62" s="39"/>
      <c r="E62" s="11"/>
      <c r="F62" s="11"/>
      <c r="G62" s="11"/>
      <c r="H62" s="40"/>
      <c r="I62" s="11"/>
      <c r="J62" s="39"/>
      <c r="K62" s="11"/>
      <c r="L62" s="11"/>
      <c r="M62" s="11"/>
      <c r="N62" s="11"/>
      <c r="O62" s="11"/>
      <c r="P62" s="40"/>
      <c r="Q62" s="11"/>
      <c r="R62" s="12"/>
    </row>
    <row r="63" spans="2:18" s="2" customFormat="1" ht="14.25" customHeight="1">
      <c r="B63" s="10"/>
      <c r="C63" s="11"/>
      <c r="D63" s="39"/>
      <c r="E63" s="11"/>
      <c r="F63" s="11"/>
      <c r="G63" s="11"/>
      <c r="H63" s="40"/>
      <c r="I63" s="11"/>
      <c r="J63" s="39"/>
      <c r="K63" s="11"/>
      <c r="L63" s="11"/>
      <c r="M63" s="11"/>
      <c r="N63" s="11"/>
      <c r="O63" s="11"/>
      <c r="P63" s="40"/>
      <c r="Q63" s="11"/>
      <c r="R63" s="12"/>
    </row>
    <row r="64" spans="2:18" s="2" customFormat="1" ht="14.25" customHeight="1">
      <c r="B64" s="10"/>
      <c r="C64" s="11"/>
      <c r="D64" s="39"/>
      <c r="E64" s="11"/>
      <c r="F64" s="11"/>
      <c r="G64" s="11"/>
      <c r="H64" s="40"/>
      <c r="I64" s="11"/>
      <c r="J64" s="39"/>
      <c r="K64" s="11"/>
      <c r="L64" s="11"/>
      <c r="M64" s="11"/>
      <c r="N64" s="11"/>
      <c r="O64" s="11"/>
      <c r="P64" s="40"/>
      <c r="Q64" s="11"/>
      <c r="R64" s="12"/>
    </row>
    <row r="65" spans="2:18" s="2" customFormat="1" ht="14.25" customHeight="1">
      <c r="B65" s="10"/>
      <c r="C65" s="11"/>
      <c r="D65" s="39"/>
      <c r="E65" s="11"/>
      <c r="F65" s="11"/>
      <c r="G65" s="11"/>
      <c r="H65" s="40"/>
      <c r="I65" s="11"/>
      <c r="J65" s="39"/>
      <c r="K65" s="11"/>
      <c r="L65" s="11"/>
      <c r="M65" s="11"/>
      <c r="N65" s="11"/>
      <c r="O65" s="11"/>
      <c r="P65" s="40"/>
      <c r="Q65" s="11"/>
      <c r="R65" s="12"/>
    </row>
    <row r="66" spans="2:18" s="2" customFormat="1" ht="14.25" customHeight="1">
      <c r="B66" s="10"/>
      <c r="C66" s="11"/>
      <c r="D66" s="39"/>
      <c r="E66" s="11"/>
      <c r="F66" s="11"/>
      <c r="G66" s="11"/>
      <c r="H66" s="40"/>
      <c r="I66" s="11"/>
      <c r="J66" s="39"/>
      <c r="K66" s="11"/>
      <c r="L66" s="11"/>
      <c r="M66" s="11"/>
      <c r="N66" s="11"/>
      <c r="O66" s="11"/>
      <c r="P66" s="40"/>
      <c r="Q66" s="11"/>
      <c r="R66" s="12"/>
    </row>
    <row r="67" spans="2:18" s="2" customFormat="1" ht="14.25" customHeight="1">
      <c r="B67" s="10"/>
      <c r="C67" s="11"/>
      <c r="D67" s="39"/>
      <c r="E67" s="11"/>
      <c r="F67" s="11"/>
      <c r="G67" s="11"/>
      <c r="H67" s="40"/>
      <c r="I67" s="11"/>
      <c r="J67" s="39"/>
      <c r="K67" s="11"/>
      <c r="L67" s="11"/>
      <c r="M67" s="11"/>
      <c r="N67" s="11"/>
      <c r="O67" s="11"/>
      <c r="P67" s="40"/>
      <c r="Q67" s="11"/>
      <c r="R67" s="12"/>
    </row>
    <row r="68" spans="2:18" s="2" customFormat="1" ht="14.25" customHeight="1">
      <c r="B68" s="10"/>
      <c r="C68" s="11"/>
      <c r="D68" s="39"/>
      <c r="E68" s="11"/>
      <c r="F68" s="11"/>
      <c r="G68" s="11"/>
      <c r="H68" s="40"/>
      <c r="I68" s="11"/>
      <c r="J68" s="39"/>
      <c r="K68" s="11"/>
      <c r="L68" s="11"/>
      <c r="M68" s="11"/>
      <c r="N68" s="11"/>
      <c r="O68" s="11"/>
      <c r="P68" s="40"/>
      <c r="Q68" s="11"/>
      <c r="R68" s="12"/>
    </row>
    <row r="69" spans="2:18" s="2" customFormat="1" ht="14.25" customHeight="1">
      <c r="B69" s="10"/>
      <c r="C69" s="11"/>
      <c r="D69" s="39"/>
      <c r="E69" s="11"/>
      <c r="F69" s="11"/>
      <c r="G69" s="11"/>
      <c r="H69" s="40"/>
      <c r="I69" s="11"/>
      <c r="J69" s="39"/>
      <c r="K69" s="11"/>
      <c r="L69" s="11"/>
      <c r="M69" s="11"/>
      <c r="N69" s="11"/>
      <c r="O69" s="11"/>
      <c r="P69" s="40"/>
      <c r="Q69" s="11"/>
      <c r="R69" s="12"/>
    </row>
    <row r="70" spans="2:18" s="6" customFormat="1" ht="15.75" customHeight="1">
      <c r="B70" s="22"/>
      <c r="C70" s="23"/>
      <c r="D70" s="41" t="s">
        <v>47</v>
      </c>
      <c r="E70" s="42"/>
      <c r="F70" s="42"/>
      <c r="G70" s="43" t="s">
        <v>48</v>
      </c>
      <c r="H70" s="44"/>
      <c r="I70" s="23"/>
      <c r="J70" s="41" t="s">
        <v>47</v>
      </c>
      <c r="K70" s="42"/>
      <c r="L70" s="42"/>
      <c r="M70" s="42"/>
      <c r="N70" s="43" t="s">
        <v>48</v>
      </c>
      <c r="O70" s="42"/>
      <c r="P70" s="44"/>
      <c r="Q70" s="23"/>
      <c r="R70" s="24"/>
    </row>
    <row r="71" spans="2:18" s="6" customFormat="1" ht="15" customHeight="1">
      <c r="B71" s="45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7"/>
    </row>
    <row r="75" spans="2:18" s="6" customFormat="1" ht="7.5" customHeight="1">
      <c r="B75" s="96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8"/>
    </row>
    <row r="76" spans="2:21" s="6" customFormat="1" ht="37.5" customHeight="1">
      <c r="B76" s="22"/>
      <c r="C76" s="181" t="s">
        <v>104</v>
      </c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24"/>
      <c r="T76" s="23"/>
      <c r="U76" s="23"/>
    </row>
    <row r="77" spans="2:21" s="6" customFormat="1" ht="7.5" customHeight="1">
      <c r="B77" s="22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4"/>
      <c r="T77" s="23"/>
      <c r="U77" s="23"/>
    </row>
    <row r="78" spans="2:21" s="6" customFormat="1" ht="15" customHeight="1">
      <c r="B78" s="22"/>
      <c r="C78" s="16" t="s">
        <v>14</v>
      </c>
      <c r="D78" s="23"/>
      <c r="E78" s="23"/>
      <c r="F78" s="221" t="str">
        <f>$F$6</f>
        <v>1243 - ZŠ Lidická - oprava klempířských prvků</v>
      </c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23"/>
      <c r="R78" s="24"/>
      <c r="T78" s="23"/>
      <c r="U78" s="23"/>
    </row>
    <row r="79" spans="2:21" s="6" customFormat="1" ht="15" customHeight="1">
      <c r="B79" s="22"/>
      <c r="C79" s="15" t="s">
        <v>101</v>
      </c>
      <c r="D79" s="23"/>
      <c r="E79" s="23"/>
      <c r="F79" s="182" t="str">
        <f>$F$7</f>
        <v>1243/01 - Vlastní práce</v>
      </c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23"/>
      <c r="R79" s="24"/>
      <c r="T79" s="23"/>
      <c r="U79" s="23"/>
    </row>
    <row r="80" spans="2:21" s="6" customFormat="1" ht="7.5" customHeight="1">
      <c r="B80" s="22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4"/>
      <c r="T80" s="23"/>
      <c r="U80" s="23"/>
    </row>
    <row r="81" spans="2:21" s="6" customFormat="1" ht="18.75" customHeight="1">
      <c r="B81" s="22"/>
      <c r="C81" s="16" t="s">
        <v>16</v>
      </c>
      <c r="D81" s="23"/>
      <c r="E81" s="23"/>
      <c r="F81" s="17" t="str">
        <f>$F$9</f>
        <v>Hrádek nad Nisou</v>
      </c>
      <c r="G81" s="23"/>
      <c r="H81" s="23"/>
      <c r="I81" s="23"/>
      <c r="J81" s="23"/>
      <c r="K81" s="16" t="s">
        <v>18</v>
      </c>
      <c r="L81" s="23"/>
      <c r="M81" s="217" t="str">
        <f>IF($O$9="","",$O$9)</f>
        <v>15.05.2013</v>
      </c>
      <c r="N81" s="166"/>
      <c r="O81" s="166"/>
      <c r="P81" s="166"/>
      <c r="Q81" s="23"/>
      <c r="R81" s="24"/>
      <c r="T81" s="23"/>
      <c r="U81" s="23"/>
    </row>
    <row r="82" spans="2:21" s="6" customFormat="1" ht="7.5" customHeight="1"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4"/>
      <c r="T82" s="23"/>
      <c r="U82" s="23"/>
    </row>
    <row r="83" spans="2:21" s="6" customFormat="1" ht="15.75" customHeight="1">
      <c r="B83" s="22"/>
      <c r="C83" s="16" t="s">
        <v>20</v>
      </c>
      <c r="D83" s="23"/>
      <c r="E83" s="23"/>
      <c r="F83" s="17" t="str">
        <f>$E$12</f>
        <v>Město Hrádek n.Nis., Horní náměstí 73, 463 34</v>
      </c>
      <c r="G83" s="23"/>
      <c r="H83" s="23"/>
      <c r="I83" s="23"/>
      <c r="J83" s="23"/>
      <c r="K83" s="16" t="s">
        <v>27</v>
      </c>
      <c r="L83" s="23"/>
      <c r="M83" s="183" t="str">
        <f>$E$18</f>
        <v>STORING spol. s r.o., V Horkách 94/5, 460 07 Lbc 9</v>
      </c>
      <c r="N83" s="166"/>
      <c r="O83" s="166"/>
      <c r="P83" s="166"/>
      <c r="Q83" s="166"/>
      <c r="R83" s="24"/>
      <c r="T83" s="23"/>
      <c r="U83" s="23"/>
    </row>
    <row r="84" spans="2:21" s="6" customFormat="1" ht="15" customHeight="1">
      <c r="B84" s="22"/>
      <c r="C84" s="16" t="s">
        <v>25</v>
      </c>
      <c r="D84" s="23"/>
      <c r="E84" s="23"/>
      <c r="F84" s="17" t="str">
        <f>IF($E$15="","",$E$15)</f>
        <v>Vyplň údaj</v>
      </c>
      <c r="G84" s="23"/>
      <c r="H84" s="23"/>
      <c r="I84" s="23"/>
      <c r="J84" s="23"/>
      <c r="K84" s="16" t="s">
        <v>30</v>
      </c>
      <c r="L84" s="23"/>
      <c r="M84" s="183" t="str">
        <f>$E$21</f>
        <v> </v>
      </c>
      <c r="N84" s="166"/>
      <c r="O84" s="166"/>
      <c r="P84" s="166"/>
      <c r="Q84" s="166"/>
      <c r="R84" s="24"/>
      <c r="T84" s="23"/>
      <c r="U84" s="23"/>
    </row>
    <row r="85" spans="2:21" s="6" customFormat="1" ht="11.25" customHeight="1"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4"/>
      <c r="T85" s="23"/>
      <c r="U85" s="23"/>
    </row>
    <row r="86" spans="2:21" s="6" customFormat="1" ht="30" customHeight="1">
      <c r="B86" s="22"/>
      <c r="C86" s="225" t="s">
        <v>105</v>
      </c>
      <c r="D86" s="162"/>
      <c r="E86" s="162"/>
      <c r="F86" s="162"/>
      <c r="G86" s="162"/>
      <c r="H86" s="32"/>
      <c r="I86" s="32"/>
      <c r="J86" s="32"/>
      <c r="K86" s="32"/>
      <c r="L86" s="32"/>
      <c r="M86" s="32"/>
      <c r="N86" s="225" t="s">
        <v>106</v>
      </c>
      <c r="O86" s="166"/>
      <c r="P86" s="166"/>
      <c r="Q86" s="166"/>
      <c r="R86" s="24"/>
      <c r="T86" s="23"/>
      <c r="U86" s="23"/>
    </row>
    <row r="87" spans="2:21" s="6" customFormat="1" ht="11.25" customHeight="1">
      <c r="B87" s="22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4"/>
      <c r="T87" s="23"/>
      <c r="U87" s="23"/>
    </row>
    <row r="88" spans="2:47" s="6" customFormat="1" ht="30" customHeight="1">
      <c r="B88" s="22"/>
      <c r="C88" s="66" t="s">
        <v>107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169">
        <f>ROUNDUP($N$137,2)</f>
        <v>0</v>
      </c>
      <c r="O88" s="166"/>
      <c r="P88" s="166"/>
      <c r="Q88" s="166"/>
      <c r="R88" s="24"/>
      <c r="T88" s="23"/>
      <c r="U88" s="23"/>
      <c r="AU88" s="6" t="s">
        <v>108</v>
      </c>
    </row>
    <row r="89" spans="2:21" s="71" customFormat="1" ht="25.5" customHeight="1">
      <c r="B89" s="99"/>
      <c r="C89" s="100"/>
      <c r="D89" s="100" t="s">
        <v>109</v>
      </c>
      <c r="E89" s="100"/>
      <c r="F89" s="100"/>
      <c r="G89" s="100"/>
      <c r="H89" s="100"/>
      <c r="I89" s="100"/>
      <c r="J89" s="100"/>
      <c r="K89" s="100"/>
      <c r="L89" s="100"/>
      <c r="M89" s="100"/>
      <c r="N89" s="224">
        <f>ROUNDUP($N$138,2)</f>
        <v>0</v>
      </c>
      <c r="O89" s="223"/>
      <c r="P89" s="223"/>
      <c r="Q89" s="223"/>
      <c r="R89" s="101"/>
      <c r="T89" s="100"/>
      <c r="U89" s="100"/>
    </row>
    <row r="90" spans="2:21" s="102" customFormat="1" ht="21" customHeight="1">
      <c r="B90" s="103"/>
      <c r="C90" s="80"/>
      <c r="D90" s="80" t="s">
        <v>110</v>
      </c>
      <c r="E90" s="80"/>
      <c r="F90" s="80"/>
      <c r="G90" s="80"/>
      <c r="H90" s="80"/>
      <c r="I90" s="80"/>
      <c r="J90" s="80"/>
      <c r="K90" s="80"/>
      <c r="L90" s="80"/>
      <c r="M90" s="80"/>
      <c r="N90" s="168">
        <f>ROUNDUP($N$139,2)</f>
        <v>0</v>
      </c>
      <c r="O90" s="222"/>
      <c r="P90" s="222"/>
      <c r="Q90" s="222"/>
      <c r="R90" s="104"/>
      <c r="T90" s="80"/>
      <c r="U90" s="80"/>
    </row>
    <row r="91" spans="2:21" s="102" customFormat="1" ht="21" customHeight="1">
      <c r="B91" s="103"/>
      <c r="C91" s="80"/>
      <c r="D91" s="80" t="s">
        <v>111</v>
      </c>
      <c r="E91" s="80"/>
      <c r="F91" s="80"/>
      <c r="G91" s="80"/>
      <c r="H91" s="80"/>
      <c r="I91" s="80"/>
      <c r="J91" s="80"/>
      <c r="K91" s="80"/>
      <c r="L91" s="80"/>
      <c r="M91" s="80"/>
      <c r="N91" s="168">
        <f>ROUNDUP($N$141,2)</f>
        <v>0</v>
      </c>
      <c r="O91" s="222"/>
      <c r="P91" s="222"/>
      <c r="Q91" s="222"/>
      <c r="R91" s="104"/>
      <c r="T91" s="80"/>
      <c r="U91" s="80"/>
    </row>
    <row r="92" spans="2:21" s="102" customFormat="1" ht="15.75" customHeight="1">
      <c r="B92" s="103"/>
      <c r="C92" s="80"/>
      <c r="D92" s="80" t="s">
        <v>112</v>
      </c>
      <c r="E92" s="80"/>
      <c r="F92" s="80"/>
      <c r="G92" s="80"/>
      <c r="H92" s="80"/>
      <c r="I92" s="80"/>
      <c r="J92" s="80"/>
      <c r="K92" s="80"/>
      <c r="L92" s="80"/>
      <c r="M92" s="80"/>
      <c r="N92" s="168">
        <f>ROUNDUP($N$142,2)</f>
        <v>0</v>
      </c>
      <c r="O92" s="222"/>
      <c r="P92" s="222"/>
      <c r="Q92" s="222"/>
      <c r="R92" s="104"/>
      <c r="T92" s="80"/>
      <c r="U92" s="80"/>
    </row>
    <row r="93" spans="2:21" s="102" customFormat="1" ht="22.5" customHeight="1">
      <c r="B93" s="103"/>
      <c r="C93" s="80"/>
      <c r="D93" s="80" t="s">
        <v>113</v>
      </c>
      <c r="E93" s="80"/>
      <c r="F93" s="80"/>
      <c r="G93" s="80"/>
      <c r="H93" s="80"/>
      <c r="I93" s="80"/>
      <c r="J93" s="80"/>
      <c r="K93" s="80"/>
      <c r="L93" s="80"/>
      <c r="M93" s="80"/>
      <c r="N93" s="168">
        <f>ROUNDUP($N$143,2)</f>
        <v>0</v>
      </c>
      <c r="O93" s="222"/>
      <c r="P93" s="222"/>
      <c r="Q93" s="222"/>
      <c r="R93" s="104"/>
      <c r="T93" s="80"/>
      <c r="U93" s="80"/>
    </row>
    <row r="94" spans="2:21" s="102" customFormat="1" ht="22.5" customHeight="1">
      <c r="B94" s="103"/>
      <c r="C94" s="80"/>
      <c r="D94" s="80" t="s">
        <v>114</v>
      </c>
      <c r="E94" s="80"/>
      <c r="F94" s="80"/>
      <c r="G94" s="80"/>
      <c r="H94" s="80"/>
      <c r="I94" s="80"/>
      <c r="J94" s="80"/>
      <c r="K94" s="80"/>
      <c r="L94" s="80"/>
      <c r="M94" s="80"/>
      <c r="N94" s="168">
        <f>ROUNDUP($N$147,2)</f>
        <v>0</v>
      </c>
      <c r="O94" s="222"/>
      <c r="P94" s="222"/>
      <c r="Q94" s="222"/>
      <c r="R94" s="104"/>
      <c r="T94" s="80"/>
      <c r="U94" s="80"/>
    </row>
    <row r="95" spans="2:21" s="102" customFormat="1" ht="22.5" customHeight="1">
      <c r="B95" s="103"/>
      <c r="C95" s="80"/>
      <c r="D95" s="80" t="s">
        <v>115</v>
      </c>
      <c r="E95" s="80"/>
      <c r="F95" s="80"/>
      <c r="G95" s="80"/>
      <c r="H95" s="80"/>
      <c r="I95" s="80"/>
      <c r="J95" s="80"/>
      <c r="K95" s="80"/>
      <c r="L95" s="80"/>
      <c r="M95" s="80"/>
      <c r="N95" s="168">
        <f>ROUNDUP($N$153,2)</f>
        <v>0</v>
      </c>
      <c r="O95" s="222"/>
      <c r="P95" s="222"/>
      <c r="Q95" s="222"/>
      <c r="R95" s="104"/>
      <c r="T95" s="80"/>
      <c r="U95" s="80"/>
    </row>
    <row r="96" spans="2:21" s="102" customFormat="1" ht="15.75" customHeight="1">
      <c r="B96" s="103"/>
      <c r="C96" s="80"/>
      <c r="D96" s="80" t="s">
        <v>116</v>
      </c>
      <c r="E96" s="80"/>
      <c r="F96" s="80"/>
      <c r="G96" s="80"/>
      <c r="H96" s="80"/>
      <c r="I96" s="80"/>
      <c r="J96" s="80"/>
      <c r="K96" s="80"/>
      <c r="L96" s="80"/>
      <c r="M96" s="80"/>
      <c r="N96" s="168">
        <f>ROUNDUP($N$161,2)</f>
        <v>0</v>
      </c>
      <c r="O96" s="222"/>
      <c r="P96" s="222"/>
      <c r="Q96" s="222"/>
      <c r="R96" s="104"/>
      <c r="T96" s="80"/>
      <c r="U96" s="80"/>
    </row>
    <row r="97" spans="2:21" s="71" customFormat="1" ht="25.5" customHeight="1">
      <c r="B97" s="99"/>
      <c r="C97" s="100"/>
      <c r="D97" s="100" t="s">
        <v>117</v>
      </c>
      <c r="E97" s="100"/>
      <c r="F97" s="100"/>
      <c r="G97" s="100"/>
      <c r="H97" s="100"/>
      <c r="I97" s="100"/>
      <c r="J97" s="100"/>
      <c r="K97" s="100"/>
      <c r="L97" s="100"/>
      <c r="M97" s="100"/>
      <c r="N97" s="224">
        <f>ROUNDUP($N$163,2)</f>
        <v>0</v>
      </c>
      <c r="O97" s="223"/>
      <c r="P97" s="223"/>
      <c r="Q97" s="223"/>
      <c r="R97" s="101"/>
      <c r="T97" s="100"/>
      <c r="U97" s="100"/>
    </row>
    <row r="98" spans="2:21" s="102" customFormat="1" ht="21" customHeight="1">
      <c r="B98" s="103"/>
      <c r="C98" s="80"/>
      <c r="D98" s="80" t="s">
        <v>118</v>
      </c>
      <c r="E98" s="80"/>
      <c r="F98" s="80"/>
      <c r="G98" s="80"/>
      <c r="H98" s="80"/>
      <c r="I98" s="80"/>
      <c r="J98" s="80"/>
      <c r="K98" s="80"/>
      <c r="L98" s="80"/>
      <c r="M98" s="80"/>
      <c r="N98" s="168">
        <f>ROUNDUP($N$164,2)</f>
        <v>0</v>
      </c>
      <c r="O98" s="222"/>
      <c r="P98" s="222"/>
      <c r="Q98" s="222"/>
      <c r="R98" s="104"/>
      <c r="T98" s="80"/>
      <c r="U98" s="80"/>
    </row>
    <row r="99" spans="2:21" s="102" customFormat="1" ht="21" customHeight="1">
      <c r="B99" s="103"/>
      <c r="C99" s="80"/>
      <c r="D99" s="80" t="s">
        <v>119</v>
      </c>
      <c r="E99" s="80"/>
      <c r="F99" s="80"/>
      <c r="G99" s="80"/>
      <c r="H99" s="80"/>
      <c r="I99" s="80"/>
      <c r="J99" s="80"/>
      <c r="K99" s="80"/>
      <c r="L99" s="80"/>
      <c r="M99" s="80"/>
      <c r="N99" s="168">
        <f>ROUNDUP($N$168,2)</f>
        <v>0</v>
      </c>
      <c r="O99" s="222"/>
      <c r="P99" s="222"/>
      <c r="Q99" s="222"/>
      <c r="R99" s="104"/>
      <c r="T99" s="80"/>
      <c r="U99" s="80"/>
    </row>
    <row r="100" spans="2:21" s="102" customFormat="1" ht="21" customHeight="1">
      <c r="B100" s="103"/>
      <c r="C100" s="80"/>
      <c r="D100" s="80" t="s">
        <v>120</v>
      </c>
      <c r="E100" s="80"/>
      <c r="F100" s="80"/>
      <c r="G100" s="80"/>
      <c r="H100" s="80"/>
      <c r="I100" s="80"/>
      <c r="J100" s="80"/>
      <c r="K100" s="80"/>
      <c r="L100" s="80"/>
      <c r="M100" s="80"/>
      <c r="N100" s="168">
        <f>ROUNDUP($N$170,2)</f>
        <v>0</v>
      </c>
      <c r="O100" s="222"/>
      <c r="P100" s="222"/>
      <c r="Q100" s="222"/>
      <c r="R100" s="104"/>
      <c r="T100" s="80"/>
      <c r="U100" s="80"/>
    </row>
    <row r="101" spans="2:21" s="102" customFormat="1" ht="15.75" customHeight="1">
      <c r="B101" s="103"/>
      <c r="C101" s="80"/>
      <c r="D101" s="80" t="s">
        <v>121</v>
      </c>
      <c r="E101" s="80"/>
      <c r="F101" s="80"/>
      <c r="G101" s="80"/>
      <c r="H101" s="80"/>
      <c r="I101" s="80"/>
      <c r="J101" s="80"/>
      <c r="K101" s="80"/>
      <c r="L101" s="80"/>
      <c r="M101" s="80"/>
      <c r="N101" s="168">
        <f>ROUNDUP($N$171,2)</f>
        <v>0</v>
      </c>
      <c r="O101" s="222"/>
      <c r="P101" s="222"/>
      <c r="Q101" s="222"/>
      <c r="R101" s="104"/>
      <c r="T101" s="80"/>
      <c r="U101" s="80"/>
    </row>
    <row r="102" spans="2:21" s="102" customFormat="1" ht="22.5" customHeight="1">
      <c r="B102" s="103"/>
      <c r="C102" s="80"/>
      <c r="D102" s="80" t="s">
        <v>122</v>
      </c>
      <c r="E102" s="80"/>
      <c r="F102" s="80"/>
      <c r="G102" s="80"/>
      <c r="H102" s="80"/>
      <c r="I102" s="80"/>
      <c r="J102" s="80"/>
      <c r="K102" s="80"/>
      <c r="L102" s="80"/>
      <c r="M102" s="80"/>
      <c r="N102" s="168">
        <f>ROUNDUP($N$178,2)</f>
        <v>0</v>
      </c>
      <c r="O102" s="222"/>
      <c r="P102" s="222"/>
      <c r="Q102" s="222"/>
      <c r="R102" s="104"/>
      <c r="T102" s="80"/>
      <c r="U102" s="80"/>
    </row>
    <row r="103" spans="2:21" s="102" customFormat="1" ht="15.75" customHeight="1">
      <c r="B103" s="103"/>
      <c r="C103" s="80"/>
      <c r="D103" s="80" t="s">
        <v>123</v>
      </c>
      <c r="E103" s="80"/>
      <c r="F103" s="80"/>
      <c r="G103" s="80"/>
      <c r="H103" s="80"/>
      <c r="I103" s="80"/>
      <c r="J103" s="80"/>
      <c r="K103" s="80"/>
      <c r="L103" s="80"/>
      <c r="M103" s="80"/>
      <c r="N103" s="168">
        <f>ROUNDUP($N$185,2)</f>
        <v>0</v>
      </c>
      <c r="O103" s="222"/>
      <c r="P103" s="222"/>
      <c r="Q103" s="222"/>
      <c r="R103" s="104"/>
      <c r="T103" s="80"/>
      <c r="U103" s="80"/>
    </row>
    <row r="104" spans="2:21" s="102" customFormat="1" ht="15.75" customHeight="1">
      <c r="B104" s="103"/>
      <c r="C104" s="80"/>
      <c r="D104" s="80" t="s">
        <v>124</v>
      </c>
      <c r="E104" s="80"/>
      <c r="F104" s="80"/>
      <c r="G104" s="80"/>
      <c r="H104" s="80"/>
      <c r="I104" s="80"/>
      <c r="J104" s="80"/>
      <c r="K104" s="80"/>
      <c r="L104" s="80"/>
      <c r="M104" s="80"/>
      <c r="N104" s="168">
        <f>ROUNDUP($N$188,2)</f>
        <v>0</v>
      </c>
      <c r="O104" s="222"/>
      <c r="P104" s="222"/>
      <c r="Q104" s="222"/>
      <c r="R104" s="104"/>
      <c r="T104" s="80"/>
      <c r="U104" s="80"/>
    </row>
    <row r="105" spans="2:21" s="102" customFormat="1" ht="15.75" customHeight="1">
      <c r="B105" s="103"/>
      <c r="C105" s="80"/>
      <c r="D105" s="80" t="s">
        <v>125</v>
      </c>
      <c r="E105" s="80"/>
      <c r="F105" s="80"/>
      <c r="G105" s="80"/>
      <c r="H105" s="80"/>
      <c r="I105" s="80"/>
      <c r="J105" s="80"/>
      <c r="K105" s="80"/>
      <c r="L105" s="80"/>
      <c r="M105" s="80"/>
      <c r="N105" s="168">
        <f>ROUNDUP($N$190,2)</f>
        <v>0</v>
      </c>
      <c r="O105" s="222"/>
      <c r="P105" s="222"/>
      <c r="Q105" s="222"/>
      <c r="R105" s="104"/>
      <c r="T105" s="80"/>
      <c r="U105" s="80"/>
    </row>
    <row r="106" spans="2:21" s="71" customFormat="1" ht="25.5" customHeight="1">
      <c r="B106" s="99"/>
      <c r="C106" s="100"/>
      <c r="D106" s="100" t="s">
        <v>126</v>
      </c>
      <c r="E106" s="100"/>
      <c r="F106" s="100"/>
      <c r="G106" s="100"/>
      <c r="H106" s="100"/>
      <c r="I106" s="100"/>
      <c r="J106" s="100"/>
      <c r="K106" s="100"/>
      <c r="L106" s="100"/>
      <c r="M106" s="100"/>
      <c r="N106" s="224">
        <f>ROUNDUP($N$192,2)</f>
        <v>0</v>
      </c>
      <c r="O106" s="223"/>
      <c r="P106" s="223"/>
      <c r="Q106" s="223"/>
      <c r="R106" s="101"/>
      <c r="T106" s="100"/>
      <c r="U106" s="100"/>
    </row>
    <row r="107" spans="2:21" s="102" customFormat="1" ht="21" customHeight="1">
      <c r="B107" s="103"/>
      <c r="C107" s="80"/>
      <c r="D107" s="80" t="s">
        <v>127</v>
      </c>
      <c r="E107" s="80"/>
      <c r="F107" s="80"/>
      <c r="G107" s="80"/>
      <c r="H107" s="80"/>
      <c r="I107" s="80"/>
      <c r="J107" s="80"/>
      <c r="K107" s="80"/>
      <c r="L107" s="80"/>
      <c r="M107" s="80"/>
      <c r="N107" s="168">
        <f>ROUNDUP($N$193,2)</f>
        <v>0</v>
      </c>
      <c r="O107" s="222"/>
      <c r="P107" s="222"/>
      <c r="Q107" s="222"/>
      <c r="R107" s="104"/>
      <c r="T107" s="80"/>
      <c r="U107" s="80"/>
    </row>
    <row r="108" spans="2:21" s="102" customFormat="1" ht="21" customHeight="1">
      <c r="B108" s="103"/>
      <c r="C108" s="80"/>
      <c r="D108" s="80" t="s">
        <v>128</v>
      </c>
      <c r="E108" s="80"/>
      <c r="F108" s="80"/>
      <c r="G108" s="80"/>
      <c r="H108" s="80"/>
      <c r="I108" s="80"/>
      <c r="J108" s="80"/>
      <c r="K108" s="80"/>
      <c r="L108" s="80"/>
      <c r="M108" s="80"/>
      <c r="N108" s="168">
        <f>ROUNDUP($N$195,2)</f>
        <v>0</v>
      </c>
      <c r="O108" s="222"/>
      <c r="P108" s="222"/>
      <c r="Q108" s="222"/>
      <c r="R108" s="104"/>
      <c r="T108" s="80"/>
      <c r="U108" s="80"/>
    </row>
    <row r="109" spans="2:21" s="102" customFormat="1" ht="21" customHeight="1">
      <c r="B109" s="103"/>
      <c r="C109" s="80"/>
      <c r="D109" s="80" t="s">
        <v>129</v>
      </c>
      <c r="E109" s="80"/>
      <c r="F109" s="80"/>
      <c r="G109" s="80"/>
      <c r="H109" s="80"/>
      <c r="I109" s="80"/>
      <c r="J109" s="80"/>
      <c r="K109" s="80"/>
      <c r="L109" s="80"/>
      <c r="M109" s="80"/>
      <c r="N109" s="168">
        <f>ROUNDUP($N$200,2)</f>
        <v>0</v>
      </c>
      <c r="O109" s="222"/>
      <c r="P109" s="222"/>
      <c r="Q109" s="222"/>
      <c r="R109" s="104"/>
      <c r="T109" s="80"/>
      <c r="U109" s="80"/>
    </row>
    <row r="110" spans="2:21" s="71" customFormat="1" ht="22.5" customHeight="1">
      <c r="B110" s="99"/>
      <c r="C110" s="100"/>
      <c r="D110" s="100" t="s">
        <v>130</v>
      </c>
      <c r="E110" s="100"/>
      <c r="F110" s="100"/>
      <c r="G110" s="100"/>
      <c r="H110" s="100"/>
      <c r="I110" s="100"/>
      <c r="J110" s="100"/>
      <c r="K110" s="100"/>
      <c r="L110" s="100"/>
      <c r="M110" s="100"/>
      <c r="N110" s="203">
        <f>$N$205</f>
        <v>0</v>
      </c>
      <c r="O110" s="223"/>
      <c r="P110" s="223"/>
      <c r="Q110" s="223"/>
      <c r="R110" s="101"/>
      <c r="T110" s="100"/>
      <c r="U110" s="100"/>
    </row>
    <row r="111" spans="2:21" s="6" customFormat="1" ht="22.5" customHeight="1">
      <c r="B111" s="22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4"/>
      <c r="T111" s="23"/>
      <c r="U111" s="23"/>
    </row>
    <row r="112" spans="2:21" s="6" customFormat="1" ht="30" customHeight="1">
      <c r="B112" s="22"/>
      <c r="C112" s="66" t="s">
        <v>131</v>
      </c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169">
        <f>ROUNDUP($N$113+$N$114+$N$115+$N$116+$N$117+$N$118,2)</f>
        <v>0</v>
      </c>
      <c r="O112" s="166"/>
      <c r="P112" s="166"/>
      <c r="Q112" s="166"/>
      <c r="R112" s="24"/>
      <c r="T112" s="105"/>
      <c r="U112" s="106" t="s">
        <v>35</v>
      </c>
    </row>
    <row r="113" spans="2:62" s="6" customFormat="1" ht="18.75" customHeight="1">
      <c r="B113" s="22"/>
      <c r="C113" s="23"/>
      <c r="D113" s="165" t="s">
        <v>132</v>
      </c>
      <c r="E113" s="166"/>
      <c r="F113" s="166"/>
      <c r="G113" s="166"/>
      <c r="H113" s="166"/>
      <c r="I113" s="23"/>
      <c r="J113" s="23"/>
      <c r="K113" s="23"/>
      <c r="L113" s="23"/>
      <c r="M113" s="23"/>
      <c r="N113" s="167">
        <f>ROUNDUP($N$88*$T$113,2)</f>
        <v>0</v>
      </c>
      <c r="O113" s="166"/>
      <c r="P113" s="166"/>
      <c r="Q113" s="166"/>
      <c r="R113" s="24"/>
      <c r="T113" s="107"/>
      <c r="U113" s="108" t="s">
        <v>36</v>
      </c>
      <c r="AY113" s="6" t="s">
        <v>133</v>
      </c>
      <c r="BE113" s="84">
        <f>IF($U$113="základní",$N$113,0)</f>
        <v>0</v>
      </c>
      <c r="BF113" s="84">
        <f>IF($U$113="snížená",$N$113,0)</f>
        <v>0</v>
      </c>
      <c r="BG113" s="84">
        <f>IF($U$113="zákl. přenesená",$N$113,0)</f>
        <v>0</v>
      </c>
      <c r="BH113" s="84">
        <f>IF($U$113="sníž. přenesená",$N$113,0)</f>
        <v>0</v>
      </c>
      <c r="BI113" s="84">
        <f>IF($U$113="nulová",$N$113,0)</f>
        <v>0</v>
      </c>
      <c r="BJ113" s="6" t="s">
        <v>78</v>
      </c>
    </row>
    <row r="114" spans="2:62" s="6" customFormat="1" ht="18.75" customHeight="1">
      <c r="B114" s="22"/>
      <c r="C114" s="23"/>
      <c r="D114" s="165" t="s">
        <v>134</v>
      </c>
      <c r="E114" s="166"/>
      <c r="F114" s="166"/>
      <c r="G114" s="166"/>
      <c r="H114" s="166"/>
      <c r="I114" s="23"/>
      <c r="J114" s="23"/>
      <c r="K114" s="23"/>
      <c r="L114" s="23"/>
      <c r="M114" s="23"/>
      <c r="N114" s="167">
        <f>ROUNDUP($N$88*$T$114,2)</f>
        <v>0</v>
      </c>
      <c r="O114" s="166"/>
      <c r="P114" s="166"/>
      <c r="Q114" s="166"/>
      <c r="R114" s="24"/>
      <c r="T114" s="107"/>
      <c r="U114" s="108" t="s">
        <v>36</v>
      </c>
      <c r="AY114" s="6" t="s">
        <v>133</v>
      </c>
      <c r="BE114" s="84">
        <f>IF($U$114="základní",$N$114,0)</f>
        <v>0</v>
      </c>
      <c r="BF114" s="84">
        <f>IF($U$114="snížená",$N$114,0)</f>
        <v>0</v>
      </c>
      <c r="BG114" s="84">
        <f>IF($U$114="zákl. přenesená",$N$114,0)</f>
        <v>0</v>
      </c>
      <c r="BH114" s="84">
        <f>IF($U$114="sníž. přenesená",$N$114,0)</f>
        <v>0</v>
      </c>
      <c r="BI114" s="84">
        <f>IF($U$114="nulová",$N$114,0)</f>
        <v>0</v>
      </c>
      <c r="BJ114" s="6" t="s">
        <v>78</v>
      </c>
    </row>
    <row r="115" spans="2:62" s="6" customFormat="1" ht="18.75" customHeight="1">
      <c r="B115" s="22"/>
      <c r="C115" s="23"/>
      <c r="D115" s="165" t="s">
        <v>135</v>
      </c>
      <c r="E115" s="166"/>
      <c r="F115" s="166"/>
      <c r="G115" s="166"/>
      <c r="H115" s="166"/>
      <c r="I115" s="23"/>
      <c r="J115" s="23"/>
      <c r="K115" s="23"/>
      <c r="L115" s="23"/>
      <c r="M115" s="23"/>
      <c r="N115" s="167">
        <f>ROUNDUP($N$88*$T$115,2)</f>
        <v>0</v>
      </c>
      <c r="O115" s="166"/>
      <c r="P115" s="166"/>
      <c r="Q115" s="166"/>
      <c r="R115" s="24"/>
      <c r="T115" s="107"/>
      <c r="U115" s="108" t="s">
        <v>36</v>
      </c>
      <c r="AY115" s="6" t="s">
        <v>133</v>
      </c>
      <c r="BE115" s="84">
        <f>IF($U$115="základní",$N$115,0)</f>
        <v>0</v>
      </c>
      <c r="BF115" s="84">
        <f>IF($U$115="snížená",$N$115,0)</f>
        <v>0</v>
      </c>
      <c r="BG115" s="84">
        <f>IF($U$115="zákl. přenesená",$N$115,0)</f>
        <v>0</v>
      </c>
      <c r="BH115" s="84">
        <f>IF($U$115="sníž. přenesená",$N$115,0)</f>
        <v>0</v>
      </c>
      <c r="BI115" s="84">
        <f>IF($U$115="nulová",$N$115,0)</f>
        <v>0</v>
      </c>
      <c r="BJ115" s="6" t="s">
        <v>78</v>
      </c>
    </row>
    <row r="116" spans="2:62" s="6" customFormat="1" ht="18.75" customHeight="1">
      <c r="B116" s="22"/>
      <c r="C116" s="23"/>
      <c r="D116" s="165" t="s">
        <v>136</v>
      </c>
      <c r="E116" s="166"/>
      <c r="F116" s="166"/>
      <c r="G116" s="166"/>
      <c r="H116" s="166"/>
      <c r="I116" s="23"/>
      <c r="J116" s="23"/>
      <c r="K116" s="23"/>
      <c r="L116" s="23"/>
      <c r="M116" s="23"/>
      <c r="N116" s="167">
        <f>ROUNDUP($N$88*$T$116,2)</f>
        <v>0</v>
      </c>
      <c r="O116" s="166"/>
      <c r="P116" s="166"/>
      <c r="Q116" s="166"/>
      <c r="R116" s="24"/>
      <c r="T116" s="107"/>
      <c r="U116" s="108" t="s">
        <v>36</v>
      </c>
      <c r="AY116" s="6" t="s">
        <v>133</v>
      </c>
      <c r="BE116" s="84">
        <f>IF($U$116="základní",$N$116,0)</f>
        <v>0</v>
      </c>
      <c r="BF116" s="84">
        <f>IF($U$116="snížená",$N$116,0)</f>
        <v>0</v>
      </c>
      <c r="BG116" s="84">
        <f>IF($U$116="zákl. přenesená",$N$116,0)</f>
        <v>0</v>
      </c>
      <c r="BH116" s="84">
        <f>IF($U$116="sníž. přenesená",$N$116,0)</f>
        <v>0</v>
      </c>
      <c r="BI116" s="84">
        <f>IF($U$116="nulová",$N$116,0)</f>
        <v>0</v>
      </c>
      <c r="BJ116" s="6" t="s">
        <v>78</v>
      </c>
    </row>
    <row r="117" spans="2:62" s="6" customFormat="1" ht="18.75" customHeight="1">
      <c r="B117" s="22"/>
      <c r="C117" s="23"/>
      <c r="D117" s="165" t="s">
        <v>137</v>
      </c>
      <c r="E117" s="166"/>
      <c r="F117" s="166"/>
      <c r="G117" s="166"/>
      <c r="H117" s="166"/>
      <c r="I117" s="23"/>
      <c r="J117" s="23"/>
      <c r="K117" s="23"/>
      <c r="L117" s="23"/>
      <c r="M117" s="23"/>
      <c r="N117" s="167">
        <f>ROUNDUP($N$88*$T$117,2)</f>
        <v>0</v>
      </c>
      <c r="O117" s="166"/>
      <c r="P117" s="166"/>
      <c r="Q117" s="166"/>
      <c r="R117" s="24"/>
      <c r="T117" s="107"/>
      <c r="U117" s="108" t="s">
        <v>36</v>
      </c>
      <c r="AY117" s="6" t="s">
        <v>133</v>
      </c>
      <c r="BE117" s="84">
        <f>IF($U$117="základní",$N$117,0)</f>
        <v>0</v>
      </c>
      <c r="BF117" s="84">
        <f>IF($U$117="snížená",$N$117,0)</f>
        <v>0</v>
      </c>
      <c r="BG117" s="84">
        <f>IF($U$117="zákl. přenesená",$N$117,0)</f>
        <v>0</v>
      </c>
      <c r="BH117" s="84">
        <f>IF($U$117="sníž. přenesená",$N$117,0)</f>
        <v>0</v>
      </c>
      <c r="BI117" s="84">
        <f>IF($U$117="nulová",$N$117,0)</f>
        <v>0</v>
      </c>
      <c r="BJ117" s="6" t="s">
        <v>78</v>
      </c>
    </row>
    <row r="118" spans="2:62" s="6" customFormat="1" ht="18.75" customHeight="1">
      <c r="B118" s="22"/>
      <c r="C118" s="23"/>
      <c r="D118" s="80" t="s">
        <v>138</v>
      </c>
      <c r="E118" s="23"/>
      <c r="F118" s="23"/>
      <c r="G118" s="23"/>
      <c r="H118" s="23"/>
      <c r="I118" s="23"/>
      <c r="J118" s="23"/>
      <c r="K118" s="23"/>
      <c r="L118" s="23"/>
      <c r="M118" s="23"/>
      <c r="N118" s="167">
        <f>ROUNDUP($N$88*$T$118,2)</f>
        <v>0</v>
      </c>
      <c r="O118" s="166"/>
      <c r="P118" s="166"/>
      <c r="Q118" s="166"/>
      <c r="R118" s="24"/>
      <c r="T118" s="109"/>
      <c r="U118" s="110" t="s">
        <v>36</v>
      </c>
      <c r="AY118" s="6" t="s">
        <v>139</v>
      </c>
      <c r="BE118" s="84">
        <f>IF($U$118="základní",$N$118,0)</f>
        <v>0</v>
      </c>
      <c r="BF118" s="84">
        <f>IF($U$118="snížená",$N$118,0)</f>
        <v>0</v>
      </c>
      <c r="BG118" s="84">
        <f>IF($U$118="zákl. přenesená",$N$118,0)</f>
        <v>0</v>
      </c>
      <c r="BH118" s="84">
        <f>IF($U$118="sníž. přenesená",$N$118,0)</f>
        <v>0</v>
      </c>
      <c r="BI118" s="84">
        <f>IF($U$118="nulová",$N$118,0)</f>
        <v>0</v>
      </c>
      <c r="BJ118" s="6" t="s">
        <v>78</v>
      </c>
    </row>
    <row r="119" spans="2:21" s="6" customFormat="1" ht="14.25" customHeight="1">
      <c r="B119" s="22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4"/>
      <c r="T119" s="23"/>
      <c r="U119" s="23"/>
    </row>
    <row r="120" spans="2:21" s="6" customFormat="1" ht="30" customHeight="1">
      <c r="B120" s="22"/>
      <c r="C120" s="91" t="s">
        <v>97</v>
      </c>
      <c r="D120" s="32"/>
      <c r="E120" s="32"/>
      <c r="F120" s="32"/>
      <c r="G120" s="32"/>
      <c r="H120" s="32"/>
      <c r="I120" s="32"/>
      <c r="J120" s="32"/>
      <c r="K120" s="32"/>
      <c r="L120" s="161">
        <f>ROUNDUP(SUM($N$88+$N$112),2)</f>
        <v>0</v>
      </c>
      <c r="M120" s="162"/>
      <c r="N120" s="162"/>
      <c r="O120" s="162"/>
      <c r="P120" s="162"/>
      <c r="Q120" s="162"/>
      <c r="R120" s="24"/>
      <c r="T120" s="23"/>
      <c r="U120" s="23"/>
    </row>
    <row r="121" spans="2:21" s="6" customFormat="1" ht="7.5" customHeight="1">
      <c r="B121" s="45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7"/>
      <c r="T121" s="23"/>
      <c r="U121" s="23"/>
    </row>
    <row r="125" spans="2:18" s="6" customFormat="1" ht="7.5" customHeight="1">
      <c r="B125" s="48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50"/>
    </row>
    <row r="126" spans="2:18" s="6" customFormat="1" ht="37.5" customHeight="1">
      <c r="B126" s="22"/>
      <c r="C126" s="181" t="s">
        <v>140</v>
      </c>
      <c r="D126" s="166"/>
      <c r="E126" s="166"/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24"/>
    </row>
    <row r="127" spans="2:18" s="6" customFormat="1" ht="7.5" customHeight="1">
      <c r="B127" s="22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4"/>
    </row>
    <row r="128" spans="2:18" s="6" customFormat="1" ht="15" customHeight="1">
      <c r="B128" s="22"/>
      <c r="C128" s="16" t="s">
        <v>14</v>
      </c>
      <c r="D128" s="23"/>
      <c r="E128" s="23"/>
      <c r="F128" s="221" t="str">
        <f>$F$6</f>
        <v>1243 - ZŠ Lidická - oprava klempířských prvků</v>
      </c>
      <c r="G128" s="166"/>
      <c r="H128" s="166"/>
      <c r="I128" s="166"/>
      <c r="J128" s="166"/>
      <c r="K128" s="166"/>
      <c r="L128" s="166"/>
      <c r="M128" s="166"/>
      <c r="N128" s="166"/>
      <c r="O128" s="166"/>
      <c r="P128" s="166"/>
      <c r="Q128" s="23"/>
      <c r="R128" s="24"/>
    </row>
    <row r="129" spans="2:18" s="6" customFormat="1" ht="15" customHeight="1">
      <c r="B129" s="22"/>
      <c r="C129" s="15" t="s">
        <v>101</v>
      </c>
      <c r="D129" s="23"/>
      <c r="E129" s="23"/>
      <c r="F129" s="182" t="str">
        <f>$F$7</f>
        <v>1243/01 - Vlastní práce</v>
      </c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  <c r="Q129" s="23"/>
      <c r="R129" s="24"/>
    </row>
    <row r="130" spans="2:18" s="6" customFormat="1" ht="7.5" customHeight="1">
      <c r="B130" s="22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4"/>
    </row>
    <row r="131" spans="2:18" s="6" customFormat="1" ht="18.75" customHeight="1">
      <c r="B131" s="22"/>
      <c r="C131" s="16" t="s">
        <v>16</v>
      </c>
      <c r="D131" s="23"/>
      <c r="E131" s="23"/>
      <c r="F131" s="17" t="str">
        <f>$F$9</f>
        <v>Hrádek nad Nisou</v>
      </c>
      <c r="G131" s="23"/>
      <c r="H131" s="23"/>
      <c r="I131" s="23"/>
      <c r="J131" s="23"/>
      <c r="K131" s="16" t="s">
        <v>18</v>
      </c>
      <c r="L131" s="23"/>
      <c r="M131" s="217" t="str">
        <f>IF($O$9="","",$O$9)</f>
        <v>15.05.2013</v>
      </c>
      <c r="N131" s="166"/>
      <c r="O131" s="166"/>
      <c r="P131" s="166"/>
      <c r="Q131" s="23"/>
      <c r="R131" s="24"/>
    </row>
    <row r="132" spans="2:18" s="6" customFormat="1" ht="7.5" customHeight="1">
      <c r="B132" s="22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4"/>
    </row>
    <row r="133" spans="2:18" s="6" customFormat="1" ht="15.75" customHeight="1">
      <c r="B133" s="22"/>
      <c r="C133" s="16" t="s">
        <v>20</v>
      </c>
      <c r="D133" s="23"/>
      <c r="E133" s="23"/>
      <c r="F133" s="17" t="str">
        <f>$E$12</f>
        <v>Město Hrádek n.Nis., Horní náměstí 73, 463 34</v>
      </c>
      <c r="G133" s="23"/>
      <c r="H133" s="23"/>
      <c r="I133" s="23"/>
      <c r="J133" s="23"/>
      <c r="K133" s="16" t="s">
        <v>27</v>
      </c>
      <c r="L133" s="23"/>
      <c r="M133" s="183" t="str">
        <f>$E$18</f>
        <v>STORING spol. s r.o., V Horkách 94/5, 460 07 Lbc 9</v>
      </c>
      <c r="N133" s="166"/>
      <c r="O133" s="166"/>
      <c r="P133" s="166"/>
      <c r="Q133" s="166"/>
      <c r="R133" s="24"/>
    </row>
    <row r="134" spans="2:18" s="6" customFormat="1" ht="15" customHeight="1">
      <c r="B134" s="22"/>
      <c r="C134" s="16" t="s">
        <v>25</v>
      </c>
      <c r="D134" s="23"/>
      <c r="E134" s="23"/>
      <c r="F134" s="17" t="str">
        <f>IF($E$15="","",$E$15)</f>
        <v>Vyplň údaj</v>
      </c>
      <c r="G134" s="23"/>
      <c r="H134" s="23"/>
      <c r="I134" s="23"/>
      <c r="J134" s="23"/>
      <c r="K134" s="16" t="s">
        <v>30</v>
      </c>
      <c r="L134" s="23"/>
      <c r="M134" s="183" t="str">
        <f>$E$21</f>
        <v> </v>
      </c>
      <c r="N134" s="166"/>
      <c r="O134" s="166"/>
      <c r="P134" s="166"/>
      <c r="Q134" s="166"/>
      <c r="R134" s="24"/>
    </row>
    <row r="135" spans="2:18" s="6" customFormat="1" ht="11.25" customHeight="1">
      <c r="B135" s="22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4"/>
    </row>
    <row r="136" spans="2:27" s="111" customFormat="1" ht="30" customHeight="1">
      <c r="B136" s="112"/>
      <c r="C136" s="113" t="s">
        <v>141</v>
      </c>
      <c r="D136" s="114" t="s">
        <v>142</v>
      </c>
      <c r="E136" s="114" t="s">
        <v>53</v>
      </c>
      <c r="F136" s="218" t="s">
        <v>143</v>
      </c>
      <c r="G136" s="219"/>
      <c r="H136" s="219"/>
      <c r="I136" s="219"/>
      <c r="J136" s="114" t="s">
        <v>144</v>
      </c>
      <c r="K136" s="114" t="s">
        <v>145</v>
      </c>
      <c r="L136" s="218" t="s">
        <v>146</v>
      </c>
      <c r="M136" s="219"/>
      <c r="N136" s="218" t="s">
        <v>147</v>
      </c>
      <c r="O136" s="219"/>
      <c r="P136" s="219"/>
      <c r="Q136" s="220"/>
      <c r="R136" s="115"/>
      <c r="T136" s="61" t="s">
        <v>148</v>
      </c>
      <c r="U136" s="62" t="s">
        <v>35</v>
      </c>
      <c r="V136" s="62" t="s">
        <v>149</v>
      </c>
      <c r="W136" s="62" t="s">
        <v>150</v>
      </c>
      <c r="X136" s="62" t="s">
        <v>151</v>
      </c>
      <c r="Y136" s="62" t="s">
        <v>152</v>
      </c>
      <c r="Z136" s="62" t="s">
        <v>153</v>
      </c>
      <c r="AA136" s="63" t="s">
        <v>154</v>
      </c>
    </row>
    <row r="137" spans="2:63" s="6" customFormat="1" ht="30" customHeight="1">
      <c r="B137" s="22"/>
      <c r="C137" s="66" t="s">
        <v>103</v>
      </c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10">
        <f>$BK$137</f>
        <v>0</v>
      </c>
      <c r="O137" s="166"/>
      <c r="P137" s="166"/>
      <c r="Q137" s="166"/>
      <c r="R137" s="24"/>
      <c r="T137" s="65"/>
      <c r="U137" s="37"/>
      <c r="V137" s="37"/>
      <c r="W137" s="116">
        <f>$W$138+$W$163+$W$192+$W$205</f>
        <v>2773.2250990000002</v>
      </c>
      <c r="X137" s="37"/>
      <c r="Y137" s="116">
        <f>$Y$138+$Y$163+$Y$192+$Y$205</f>
        <v>15.67952434</v>
      </c>
      <c r="Z137" s="37"/>
      <c r="AA137" s="117">
        <f>$AA$138+$AA$163+$AA$192+$AA$205</f>
        <v>4.08700762</v>
      </c>
      <c r="AT137" s="6" t="s">
        <v>70</v>
      </c>
      <c r="AU137" s="6" t="s">
        <v>108</v>
      </c>
      <c r="BK137" s="118">
        <f>$BK$138+$BK$163+$BK$192+$BK$205</f>
        <v>0</v>
      </c>
    </row>
    <row r="138" spans="2:63" s="119" customFormat="1" ht="37.5" customHeight="1">
      <c r="B138" s="120"/>
      <c r="C138" s="121"/>
      <c r="D138" s="122" t="s">
        <v>109</v>
      </c>
      <c r="E138" s="121"/>
      <c r="F138" s="121"/>
      <c r="G138" s="121"/>
      <c r="H138" s="121"/>
      <c r="I138" s="121"/>
      <c r="J138" s="121"/>
      <c r="K138" s="121"/>
      <c r="L138" s="121"/>
      <c r="M138" s="121"/>
      <c r="N138" s="203">
        <f>$BK$138</f>
        <v>0</v>
      </c>
      <c r="O138" s="202"/>
      <c r="P138" s="202"/>
      <c r="Q138" s="202"/>
      <c r="R138" s="123"/>
      <c r="T138" s="124"/>
      <c r="U138" s="121"/>
      <c r="V138" s="121"/>
      <c r="W138" s="125">
        <f>$W$139+$W$141</f>
        <v>821.161775</v>
      </c>
      <c r="X138" s="121"/>
      <c r="Y138" s="125">
        <f>$Y$139+$Y$141</f>
        <v>0.5849799999999999</v>
      </c>
      <c r="Z138" s="121"/>
      <c r="AA138" s="126">
        <f>$AA$139+$AA$141</f>
        <v>0</v>
      </c>
      <c r="AR138" s="127" t="s">
        <v>78</v>
      </c>
      <c r="AT138" s="127" t="s">
        <v>70</v>
      </c>
      <c r="AU138" s="127" t="s">
        <v>71</v>
      </c>
      <c r="AY138" s="127" t="s">
        <v>155</v>
      </c>
      <c r="BK138" s="128">
        <f>$BK$139+$BK$141</f>
        <v>0</v>
      </c>
    </row>
    <row r="139" spans="2:63" s="119" customFormat="1" ht="21" customHeight="1">
      <c r="B139" s="120"/>
      <c r="C139" s="121"/>
      <c r="D139" s="129" t="s">
        <v>110</v>
      </c>
      <c r="E139" s="121"/>
      <c r="F139" s="121"/>
      <c r="G139" s="121"/>
      <c r="H139" s="121"/>
      <c r="I139" s="121"/>
      <c r="J139" s="121"/>
      <c r="K139" s="121"/>
      <c r="L139" s="121"/>
      <c r="M139" s="121"/>
      <c r="N139" s="201">
        <f>$BK$139</f>
        <v>0</v>
      </c>
      <c r="O139" s="202"/>
      <c r="P139" s="202"/>
      <c r="Q139" s="202"/>
      <c r="R139" s="123"/>
      <c r="T139" s="124"/>
      <c r="U139" s="121"/>
      <c r="V139" s="121"/>
      <c r="W139" s="125">
        <f>$W$140</f>
        <v>7.9639999999999995</v>
      </c>
      <c r="X139" s="121"/>
      <c r="Y139" s="125">
        <f>$Y$140</f>
        <v>0.5849799999999999</v>
      </c>
      <c r="Z139" s="121"/>
      <c r="AA139" s="126">
        <f>$AA$140</f>
        <v>0</v>
      </c>
      <c r="AR139" s="127" t="s">
        <v>78</v>
      </c>
      <c r="AT139" s="127" t="s">
        <v>70</v>
      </c>
      <c r="AU139" s="127" t="s">
        <v>78</v>
      </c>
      <c r="AY139" s="127" t="s">
        <v>155</v>
      </c>
      <c r="BK139" s="128">
        <f>$BK$140</f>
        <v>0</v>
      </c>
    </row>
    <row r="140" spans="2:64" s="6" customFormat="1" ht="27" customHeight="1">
      <c r="B140" s="22"/>
      <c r="C140" s="130" t="s">
        <v>78</v>
      </c>
      <c r="D140" s="130" t="s">
        <v>156</v>
      </c>
      <c r="E140" s="131" t="s">
        <v>157</v>
      </c>
      <c r="F140" s="204" t="s">
        <v>158</v>
      </c>
      <c r="G140" s="205"/>
      <c r="H140" s="205"/>
      <c r="I140" s="205"/>
      <c r="J140" s="132" t="s">
        <v>159</v>
      </c>
      <c r="K140" s="133">
        <v>22</v>
      </c>
      <c r="L140" s="206">
        <v>0</v>
      </c>
      <c r="M140" s="205"/>
      <c r="N140" s="207">
        <f>ROUND($L$140*$K$140,2)</f>
        <v>0</v>
      </c>
      <c r="O140" s="205"/>
      <c r="P140" s="205"/>
      <c r="Q140" s="205"/>
      <c r="R140" s="24"/>
      <c r="T140" s="134"/>
      <c r="U140" s="30" t="s">
        <v>36</v>
      </c>
      <c r="V140" s="135">
        <v>0.362</v>
      </c>
      <c r="W140" s="135">
        <f>$V$140*$K$140</f>
        <v>7.9639999999999995</v>
      </c>
      <c r="X140" s="135">
        <v>0.02659</v>
      </c>
      <c r="Y140" s="135">
        <f>$X$140*$K$140</f>
        <v>0.5849799999999999</v>
      </c>
      <c r="Z140" s="135">
        <v>0</v>
      </c>
      <c r="AA140" s="136">
        <f>$Z$140*$K$140</f>
        <v>0</v>
      </c>
      <c r="AR140" s="6" t="s">
        <v>160</v>
      </c>
      <c r="AT140" s="6" t="s">
        <v>156</v>
      </c>
      <c r="AU140" s="6" t="s">
        <v>99</v>
      </c>
      <c r="AY140" s="6" t="s">
        <v>155</v>
      </c>
      <c r="BE140" s="84">
        <f>IF($U$140="základní",$N$140,0)</f>
        <v>0</v>
      </c>
      <c r="BF140" s="84">
        <f>IF($U$140="snížená",$N$140,0)</f>
        <v>0</v>
      </c>
      <c r="BG140" s="84">
        <f>IF($U$140="zákl. přenesená",$N$140,0)</f>
        <v>0</v>
      </c>
      <c r="BH140" s="84">
        <f>IF($U$140="sníž. přenesená",$N$140,0)</f>
        <v>0</v>
      </c>
      <c r="BI140" s="84">
        <f>IF($U$140="nulová",$N$140,0)</f>
        <v>0</v>
      </c>
      <c r="BJ140" s="6" t="s">
        <v>78</v>
      </c>
      <c r="BK140" s="84">
        <f>ROUND($L$140*$K$140,2)</f>
        <v>0</v>
      </c>
      <c r="BL140" s="6" t="s">
        <v>160</v>
      </c>
    </row>
    <row r="141" spans="2:63" s="119" customFormat="1" ht="30.75" customHeight="1">
      <c r="B141" s="120"/>
      <c r="C141" s="121"/>
      <c r="D141" s="129" t="s">
        <v>111</v>
      </c>
      <c r="E141" s="121"/>
      <c r="F141" s="121"/>
      <c r="G141" s="121"/>
      <c r="H141" s="121"/>
      <c r="I141" s="121"/>
      <c r="J141" s="121"/>
      <c r="K141" s="121"/>
      <c r="L141" s="121"/>
      <c r="M141" s="121"/>
      <c r="N141" s="201">
        <f>$BK$141</f>
        <v>0</v>
      </c>
      <c r="O141" s="202"/>
      <c r="P141" s="202"/>
      <c r="Q141" s="202"/>
      <c r="R141" s="123"/>
      <c r="T141" s="124"/>
      <c r="U141" s="121"/>
      <c r="V141" s="121"/>
      <c r="W141" s="125">
        <f>$W$142+$W$161</f>
        <v>813.197775</v>
      </c>
      <c r="X141" s="121"/>
      <c r="Y141" s="125">
        <f>$Y$142+$Y$161</f>
        <v>0</v>
      </c>
      <c r="Z141" s="121"/>
      <c r="AA141" s="126">
        <f>$AA$142+$AA$161</f>
        <v>0</v>
      </c>
      <c r="AR141" s="127" t="s">
        <v>78</v>
      </c>
      <c r="AT141" s="127" t="s">
        <v>70</v>
      </c>
      <c r="AU141" s="127" t="s">
        <v>78</v>
      </c>
      <c r="AY141" s="127" t="s">
        <v>155</v>
      </c>
      <c r="BK141" s="128">
        <f>$BK$142+$BK$161</f>
        <v>0</v>
      </c>
    </row>
    <row r="142" spans="2:63" s="119" customFormat="1" ht="15.75" customHeight="1">
      <c r="B142" s="120"/>
      <c r="C142" s="121"/>
      <c r="D142" s="129" t="s">
        <v>112</v>
      </c>
      <c r="E142" s="121"/>
      <c r="F142" s="121"/>
      <c r="G142" s="121"/>
      <c r="H142" s="121"/>
      <c r="I142" s="121"/>
      <c r="J142" s="121"/>
      <c r="K142" s="121"/>
      <c r="L142" s="121"/>
      <c r="M142" s="121"/>
      <c r="N142" s="201">
        <f>$BK$142</f>
        <v>0</v>
      </c>
      <c r="O142" s="202"/>
      <c r="P142" s="202"/>
      <c r="Q142" s="202"/>
      <c r="R142" s="123"/>
      <c r="T142" s="124"/>
      <c r="U142" s="121"/>
      <c r="V142" s="121"/>
      <c r="W142" s="125">
        <f>$W$143+$W$147+$W$153</f>
        <v>813.005895</v>
      </c>
      <c r="X142" s="121"/>
      <c r="Y142" s="125">
        <f>$Y$143+$Y$147+$Y$153</f>
        <v>0</v>
      </c>
      <c r="Z142" s="121"/>
      <c r="AA142" s="126">
        <f>$AA$143+$AA$147+$AA$153</f>
        <v>0</v>
      </c>
      <c r="AR142" s="127" t="s">
        <v>78</v>
      </c>
      <c r="AT142" s="127" t="s">
        <v>70</v>
      </c>
      <c r="AU142" s="127" t="s">
        <v>99</v>
      </c>
      <c r="AY142" s="127" t="s">
        <v>155</v>
      </c>
      <c r="BK142" s="128">
        <f>$BK$143+$BK$147+$BK$153</f>
        <v>0</v>
      </c>
    </row>
    <row r="143" spans="2:63" s="137" customFormat="1" ht="15" customHeight="1">
      <c r="B143" s="138"/>
      <c r="C143" s="139"/>
      <c r="D143" s="139" t="s">
        <v>113</v>
      </c>
      <c r="E143" s="139"/>
      <c r="F143" s="139"/>
      <c r="G143" s="139"/>
      <c r="H143" s="139"/>
      <c r="I143" s="139"/>
      <c r="J143" s="139"/>
      <c r="K143" s="139"/>
      <c r="L143" s="139"/>
      <c r="M143" s="139"/>
      <c r="N143" s="211">
        <f>$BK$143</f>
        <v>0</v>
      </c>
      <c r="O143" s="212"/>
      <c r="P143" s="212"/>
      <c r="Q143" s="212"/>
      <c r="R143" s="140"/>
      <c r="T143" s="141"/>
      <c r="U143" s="139"/>
      <c r="V143" s="139"/>
      <c r="W143" s="142">
        <f>SUM($W$144:$W$146)</f>
        <v>579.26259</v>
      </c>
      <c r="X143" s="139"/>
      <c r="Y143" s="142">
        <f>SUM($Y$144:$Y$146)</f>
        <v>0</v>
      </c>
      <c r="Z143" s="139"/>
      <c r="AA143" s="143">
        <f>SUM($AA$144:$AA$146)</f>
        <v>0</v>
      </c>
      <c r="AR143" s="144" t="s">
        <v>78</v>
      </c>
      <c r="AT143" s="144" t="s">
        <v>70</v>
      </c>
      <c r="AU143" s="144" t="s">
        <v>161</v>
      </c>
      <c r="AY143" s="144" t="s">
        <v>155</v>
      </c>
      <c r="BK143" s="145">
        <f>SUM($BK$144:$BK$146)</f>
        <v>0</v>
      </c>
    </row>
    <row r="144" spans="2:64" s="6" customFormat="1" ht="39" customHeight="1">
      <c r="B144" s="22"/>
      <c r="C144" s="130" t="s">
        <v>99</v>
      </c>
      <c r="D144" s="130" t="s">
        <v>156</v>
      </c>
      <c r="E144" s="131" t="s">
        <v>162</v>
      </c>
      <c r="F144" s="204" t="s">
        <v>163</v>
      </c>
      <c r="G144" s="205"/>
      <c r="H144" s="205"/>
      <c r="I144" s="205"/>
      <c r="J144" s="132" t="s">
        <v>159</v>
      </c>
      <c r="K144" s="133">
        <v>3272.67</v>
      </c>
      <c r="L144" s="206">
        <v>0</v>
      </c>
      <c r="M144" s="205"/>
      <c r="N144" s="207">
        <f>ROUND($L$144*$K$144,2)</f>
        <v>0</v>
      </c>
      <c r="O144" s="205"/>
      <c r="P144" s="205"/>
      <c r="Q144" s="205"/>
      <c r="R144" s="24"/>
      <c r="T144" s="134"/>
      <c r="U144" s="30" t="s">
        <v>36</v>
      </c>
      <c r="V144" s="135">
        <v>0.11</v>
      </c>
      <c r="W144" s="135">
        <f>$V$144*$K$144</f>
        <v>359.9937</v>
      </c>
      <c r="X144" s="135">
        <v>0</v>
      </c>
      <c r="Y144" s="135">
        <f>$X$144*$K$144</f>
        <v>0</v>
      </c>
      <c r="Z144" s="135">
        <v>0</v>
      </c>
      <c r="AA144" s="136">
        <f>$Z$144*$K$144</f>
        <v>0</v>
      </c>
      <c r="AR144" s="6" t="s">
        <v>160</v>
      </c>
      <c r="AT144" s="6" t="s">
        <v>156</v>
      </c>
      <c r="AU144" s="6" t="s">
        <v>160</v>
      </c>
      <c r="AY144" s="6" t="s">
        <v>155</v>
      </c>
      <c r="BE144" s="84">
        <f>IF($U$144="základní",$N$144,0)</f>
        <v>0</v>
      </c>
      <c r="BF144" s="84">
        <f>IF($U$144="snížená",$N$144,0)</f>
        <v>0</v>
      </c>
      <c r="BG144" s="84">
        <f>IF($U$144="zákl. přenesená",$N$144,0)</f>
        <v>0</v>
      </c>
      <c r="BH144" s="84">
        <f>IF($U$144="sníž. přenesená",$N$144,0)</f>
        <v>0</v>
      </c>
      <c r="BI144" s="84">
        <f>IF($U$144="nulová",$N$144,0)</f>
        <v>0</v>
      </c>
      <c r="BJ144" s="6" t="s">
        <v>78</v>
      </c>
      <c r="BK144" s="84">
        <f>ROUND($L$144*$K$144,2)</f>
        <v>0</v>
      </c>
      <c r="BL144" s="6" t="s">
        <v>160</v>
      </c>
    </row>
    <row r="145" spans="2:64" s="6" customFormat="1" ht="39" customHeight="1">
      <c r="B145" s="22"/>
      <c r="C145" s="130" t="s">
        <v>161</v>
      </c>
      <c r="D145" s="130" t="s">
        <v>156</v>
      </c>
      <c r="E145" s="131" t="s">
        <v>164</v>
      </c>
      <c r="F145" s="204" t="s">
        <v>165</v>
      </c>
      <c r="G145" s="205"/>
      <c r="H145" s="205"/>
      <c r="I145" s="205"/>
      <c r="J145" s="132" t="s">
        <v>159</v>
      </c>
      <c r="K145" s="133">
        <v>3272.67</v>
      </c>
      <c r="L145" s="206">
        <v>0</v>
      </c>
      <c r="M145" s="205"/>
      <c r="N145" s="207">
        <f>ROUND($L$145*$K$145,2)</f>
        <v>0</v>
      </c>
      <c r="O145" s="205"/>
      <c r="P145" s="205"/>
      <c r="Q145" s="205"/>
      <c r="R145" s="24"/>
      <c r="T145" s="134"/>
      <c r="U145" s="30" t="s">
        <v>36</v>
      </c>
      <c r="V145" s="135">
        <v>0</v>
      </c>
      <c r="W145" s="135">
        <f>$V$145*$K$145</f>
        <v>0</v>
      </c>
      <c r="X145" s="135">
        <v>0</v>
      </c>
      <c r="Y145" s="135">
        <f>$X$145*$K$145</f>
        <v>0</v>
      </c>
      <c r="Z145" s="135">
        <v>0</v>
      </c>
      <c r="AA145" s="136">
        <f>$Z$145*$K$145</f>
        <v>0</v>
      </c>
      <c r="AR145" s="6" t="s">
        <v>160</v>
      </c>
      <c r="AT145" s="6" t="s">
        <v>156</v>
      </c>
      <c r="AU145" s="6" t="s">
        <v>160</v>
      </c>
      <c r="AY145" s="6" t="s">
        <v>155</v>
      </c>
      <c r="BE145" s="84">
        <f>IF($U$145="základní",$N$145,0)</f>
        <v>0</v>
      </c>
      <c r="BF145" s="84">
        <f>IF($U$145="snížená",$N$145,0)</f>
        <v>0</v>
      </c>
      <c r="BG145" s="84">
        <f>IF($U$145="zákl. přenesená",$N$145,0)</f>
        <v>0</v>
      </c>
      <c r="BH145" s="84">
        <f>IF($U$145="sníž. přenesená",$N$145,0)</f>
        <v>0</v>
      </c>
      <c r="BI145" s="84">
        <f>IF($U$145="nulová",$N$145,0)</f>
        <v>0</v>
      </c>
      <c r="BJ145" s="6" t="s">
        <v>78</v>
      </c>
      <c r="BK145" s="84">
        <f>ROUND($L$145*$K$145,2)</f>
        <v>0</v>
      </c>
      <c r="BL145" s="6" t="s">
        <v>160</v>
      </c>
    </row>
    <row r="146" spans="2:64" s="6" customFormat="1" ht="39" customHeight="1">
      <c r="B146" s="22"/>
      <c r="C146" s="130" t="s">
        <v>160</v>
      </c>
      <c r="D146" s="130" t="s">
        <v>156</v>
      </c>
      <c r="E146" s="131" t="s">
        <v>166</v>
      </c>
      <c r="F146" s="204" t="s">
        <v>167</v>
      </c>
      <c r="G146" s="205"/>
      <c r="H146" s="205"/>
      <c r="I146" s="205"/>
      <c r="J146" s="132" t="s">
        <v>159</v>
      </c>
      <c r="K146" s="133">
        <v>3272.67</v>
      </c>
      <c r="L146" s="206">
        <v>0</v>
      </c>
      <c r="M146" s="205"/>
      <c r="N146" s="207">
        <f>ROUND($L$146*$K$146,2)</f>
        <v>0</v>
      </c>
      <c r="O146" s="205"/>
      <c r="P146" s="205"/>
      <c r="Q146" s="205"/>
      <c r="R146" s="24"/>
      <c r="T146" s="134"/>
      <c r="U146" s="30" t="s">
        <v>36</v>
      </c>
      <c r="V146" s="135">
        <v>0.067</v>
      </c>
      <c r="W146" s="135">
        <f>$V$146*$K$146</f>
        <v>219.26889000000003</v>
      </c>
      <c r="X146" s="135">
        <v>0</v>
      </c>
      <c r="Y146" s="135">
        <f>$X$146*$K$146</f>
        <v>0</v>
      </c>
      <c r="Z146" s="135">
        <v>0</v>
      </c>
      <c r="AA146" s="136">
        <f>$Z$146*$K$146</f>
        <v>0</v>
      </c>
      <c r="AR146" s="6" t="s">
        <v>160</v>
      </c>
      <c r="AT146" s="6" t="s">
        <v>156</v>
      </c>
      <c r="AU146" s="6" t="s">
        <v>160</v>
      </c>
      <c r="AY146" s="6" t="s">
        <v>155</v>
      </c>
      <c r="BE146" s="84">
        <f>IF($U$146="základní",$N$146,0)</f>
        <v>0</v>
      </c>
      <c r="BF146" s="84">
        <f>IF($U$146="snížená",$N$146,0)</f>
        <v>0</v>
      </c>
      <c r="BG146" s="84">
        <f>IF($U$146="zákl. přenesená",$N$146,0)</f>
        <v>0</v>
      </c>
      <c r="BH146" s="84">
        <f>IF($U$146="sníž. přenesená",$N$146,0)</f>
        <v>0</v>
      </c>
      <c r="BI146" s="84">
        <f>IF($U$146="nulová",$N$146,0)</f>
        <v>0</v>
      </c>
      <c r="BJ146" s="6" t="s">
        <v>78</v>
      </c>
      <c r="BK146" s="84">
        <f>ROUND($L$146*$K$146,2)</f>
        <v>0</v>
      </c>
      <c r="BL146" s="6" t="s">
        <v>160</v>
      </c>
    </row>
    <row r="147" spans="2:63" s="137" customFormat="1" ht="21.75" customHeight="1">
      <c r="B147" s="138"/>
      <c r="C147" s="139"/>
      <c r="D147" s="139" t="s">
        <v>114</v>
      </c>
      <c r="E147" s="139"/>
      <c r="F147" s="139"/>
      <c r="G147" s="139"/>
      <c r="H147" s="139"/>
      <c r="I147" s="139"/>
      <c r="J147" s="139"/>
      <c r="K147" s="139"/>
      <c r="L147" s="139"/>
      <c r="M147" s="139"/>
      <c r="N147" s="211">
        <f>$BK$147</f>
        <v>0</v>
      </c>
      <c r="O147" s="212"/>
      <c r="P147" s="212"/>
      <c r="Q147" s="212"/>
      <c r="R147" s="140"/>
      <c r="T147" s="141"/>
      <c r="U147" s="139"/>
      <c r="V147" s="139"/>
      <c r="W147" s="142">
        <f>SUM($W$148:$W$152)</f>
        <v>61.98822</v>
      </c>
      <c r="X147" s="139"/>
      <c r="Y147" s="142">
        <f>SUM($Y$148:$Y$152)</f>
        <v>0</v>
      </c>
      <c r="Z147" s="139"/>
      <c r="AA147" s="143">
        <f>SUM($AA$148:$AA$152)</f>
        <v>0</v>
      </c>
      <c r="AR147" s="144" t="s">
        <v>78</v>
      </c>
      <c r="AT147" s="144" t="s">
        <v>70</v>
      </c>
      <c r="AU147" s="144" t="s">
        <v>161</v>
      </c>
      <c r="AY147" s="144" t="s">
        <v>155</v>
      </c>
      <c r="BK147" s="145">
        <f>SUM($BK$148:$BK$152)</f>
        <v>0</v>
      </c>
    </row>
    <row r="148" spans="2:64" s="6" customFormat="1" ht="27" customHeight="1">
      <c r="B148" s="22"/>
      <c r="C148" s="130" t="s">
        <v>168</v>
      </c>
      <c r="D148" s="130" t="s">
        <v>156</v>
      </c>
      <c r="E148" s="131" t="s">
        <v>169</v>
      </c>
      <c r="F148" s="204" t="s">
        <v>170</v>
      </c>
      <c r="G148" s="205"/>
      <c r="H148" s="205"/>
      <c r="I148" s="205"/>
      <c r="J148" s="132" t="s">
        <v>159</v>
      </c>
      <c r="K148" s="133">
        <v>192.51</v>
      </c>
      <c r="L148" s="206">
        <v>0</v>
      </c>
      <c r="M148" s="205"/>
      <c r="N148" s="207">
        <f>ROUND($L$148*$K$148,2)</f>
        <v>0</v>
      </c>
      <c r="O148" s="205"/>
      <c r="P148" s="205"/>
      <c r="Q148" s="205"/>
      <c r="R148" s="24"/>
      <c r="T148" s="134"/>
      <c r="U148" s="30" t="s">
        <v>36</v>
      </c>
      <c r="V148" s="135">
        <v>0.092</v>
      </c>
      <c r="W148" s="135">
        <f>$V$148*$K$148</f>
        <v>17.710919999999998</v>
      </c>
      <c r="X148" s="135">
        <v>0</v>
      </c>
      <c r="Y148" s="135">
        <f>$X$148*$K$148</f>
        <v>0</v>
      </c>
      <c r="Z148" s="135">
        <v>0</v>
      </c>
      <c r="AA148" s="136">
        <f>$Z$148*$K$148</f>
        <v>0</v>
      </c>
      <c r="AR148" s="6" t="s">
        <v>160</v>
      </c>
      <c r="AT148" s="6" t="s">
        <v>156</v>
      </c>
      <c r="AU148" s="6" t="s">
        <v>160</v>
      </c>
      <c r="AY148" s="6" t="s">
        <v>155</v>
      </c>
      <c r="BE148" s="84">
        <f>IF($U$148="základní",$N$148,0)</f>
        <v>0</v>
      </c>
      <c r="BF148" s="84">
        <f>IF($U$148="snížená",$N$148,0)</f>
        <v>0</v>
      </c>
      <c r="BG148" s="84">
        <f>IF($U$148="zákl. přenesená",$N$148,0)</f>
        <v>0</v>
      </c>
      <c r="BH148" s="84">
        <f>IF($U$148="sníž. přenesená",$N$148,0)</f>
        <v>0</v>
      </c>
      <c r="BI148" s="84">
        <f>IF($U$148="nulová",$N$148,0)</f>
        <v>0</v>
      </c>
      <c r="BJ148" s="6" t="s">
        <v>78</v>
      </c>
      <c r="BK148" s="84">
        <f>ROUND($L$148*$K$148,2)</f>
        <v>0</v>
      </c>
      <c r="BL148" s="6" t="s">
        <v>160</v>
      </c>
    </row>
    <row r="149" spans="2:64" s="6" customFormat="1" ht="27" customHeight="1">
      <c r="B149" s="22"/>
      <c r="C149" s="130" t="s">
        <v>171</v>
      </c>
      <c r="D149" s="130" t="s">
        <v>156</v>
      </c>
      <c r="E149" s="131" t="s">
        <v>172</v>
      </c>
      <c r="F149" s="204" t="s">
        <v>173</v>
      </c>
      <c r="G149" s="205"/>
      <c r="H149" s="205"/>
      <c r="I149" s="205"/>
      <c r="J149" s="132" t="s">
        <v>159</v>
      </c>
      <c r="K149" s="133">
        <v>192.51</v>
      </c>
      <c r="L149" s="206">
        <v>0</v>
      </c>
      <c r="M149" s="205"/>
      <c r="N149" s="207">
        <f>ROUND($L$149*$K$149,2)</f>
        <v>0</v>
      </c>
      <c r="O149" s="205"/>
      <c r="P149" s="205"/>
      <c r="Q149" s="205"/>
      <c r="R149" s="24"/>
      <c r="T149" s="134"/>
      <c r="U149" s="30" t="s">
        <v>36</v>
      </c>
      <c r="V149" s="135">
        <v>0.094</v>
      </c>
      <c r="W149" s="135">
        <f>$V$149*$K$149</f>
        <v>18.09594</v>
      </c>
      <c r="X149" s="135">
        <v>0</v>
      </c>
      <c r="Y149" s="135">
        <f>$X$149*$K$149</f>
        <v>0</v>
      </c>
      <c r="Z149" s="135">
        <v>0</v>
      </c>
      <c r="AA149" s="136">
        <f>$Z$149*$K$149</f>
        <v>0</v>
      </c>
      <c r="AR149" s="6" t="s">
        <v>160</v>
      </c>
      <c r="AT149" s="6" t="s">
        <v>156</v>
      </c>
      <c r="AU149" s="6" t="s">
        <v>160</v>
      </c>
      <c r="AY149" s="6" t="s">
        <v>155</v>
      </c>
      <c r="BE149" s="84">
        <f>IF($U$149="základní",$N$149,0)</f>
        <v>0</v>
      </c>
      <c r="BF149" s="84">
        <f>IF($U$149="snížená",$N$149,0)</f>
        <v>0</v>
      </c>
      <c r="BG149" s="84">
        <f>IF($U$149="zákl. přenesená",$N$149,0)</f>
        <v>0</v>
      </c>
      <c r="BH149" s="84">
        <f>IF($U$149="sníž. přenesená",$N$149,0)</f>
        <v>0</v>
      </c>
      <c r="BI149" s="84">
        <f>IF($U$149="nulová",$N$149,0)</f>
        <v>0</v>
      </c>
      <c r="BJ149" s="6" t="s">
        <v>78</v>
      </c>
      <c r="BK149" s="84">
        <f>ROUND($L$149*$K$149,2)</f>
        <v>0</v>
      </c>
      <c r="BL149" s="6" t="s">
        <v>160</v>
      </c>
    </row>
    <row r="150" spans="2:64" s="6" customFormat="1" ht="39" customHeight="1">
      <c r="B150" s="22"/>
      <c r="C150" s="130" t="s">
        <v>174</v>
      </c>
      <c r="D150" s="130" t="s">
        <v>156</v>
      </c>
      <c r="E150" s="131" t="s">
        <v>175</v>
      </c>
      <c r="F150" s="204" t="s">
        <v>176</v>
      </c>
      <c r="G150" s="205"/>
      <c r="H150" s="205"/>
      <c r="I150" s="205"/>
      <c r="J150" s="132" t="s">
        <v>159</v>
      </c>
      <c r="K150" s="133">
        <v>385.02</v>
      </c>
      <c r="L150" s="206">
        <v>0</v>
      </c>
      <c r="M150" s="205"/>
      <c r="N150" s="207">
        <f>ROUND($L$150*$K$150,2)</f>
        <v>0</v>
      </c>
      <c r="O150" s="205"/>
      <c r="P150" s="205"/>
      <c r="Q150" s="205"/>
      <c r="R150" s="24"/>
      <c r="T150" s="134"/>
      <c r="U150" s="30" t="s">
        <v>36</v>
      </c>
      <c r="V150" s="135">
        <v>0</v>
      </c>
      <c r="W150" s="135">
        <f>$V$150*$K$150</f>
        <v>0</v>
      </c>
      <c r="X150" s="135">
        <v>0</v>
      </c>
      <c r="Y150" s="135">
        <f>$X$150*$K$150</f>
        <v>0</v>
      </c>
      <c r="Z150" s="135">
        <v>0</v>
      </c>
      <c r="AA150" s="136">
        <f>$Z$150*$K$150</f>
        <v>0</v>
      </c>
      <c r="AR150" s="6" t="s">
        <v>160</v>
      </c>
      <c r="AT150" s="6" t="s">
        <v>156</v>
      </c>
      <c r="AU150" s="6" t="s">
        <v>160</v>
      </c>
      <c r="AY150" s="6" t="s">
        <v>155</v>
      </c>
      <c r="BE150" s="84">
        <f>IF($U$150="základní",$N$150,0)</f>
        <v>0</v>
      </c>
      <c r="BF150" s="84">
        <f>IF($U$150="snížená",$N$150,0)</f>
        <v>0</v>
      </c>
      <c r="BG150" s="84">
        <f>IF($U$150="zákl. přenesená",$N$150,0)</f>
        <v>0</v>
      </c>
      <c r="BH150" s="84">
        <f>IF($U$150="sníž. přenesená",$N$150,0)</f>
        <v>0</v>
      </c>
      <c r="BI150" s="84">
        <f>IF($U$150="nulová",$N$150,0)</f>
        <v>0</v>
      </c>
      <c r="BJ150" s="6" t="s">
        <v>78</v>
      </c>
      <c r="BK150" s="84">
        <f>ROUND($L$150*$K$150,2)</f>
        <v>0</v>
      </c>
      <c r="BL150" s="6" t="s">
        <v>160</v>
      </c>
    </row>
    <row r="151" spans="2:64" s="6" customFormat="1" ht="27" customHeight="1">
      <c r="B151" s="22"/>
      <c r="C151" s="130" t="s">
        <v>177</v>
      </c>
      <c r="D151" s="130" t="s">
        <v>156</v>
      </c>
      <c r="E151" s="131" t="s">
        <v>178</v>
      </c>
      <c r="F151" s="204" t="s">
        <v>179</v>
      </c>
      <c r="G151" s="205"/>
      <c r="H151" s="205"/>
      <c r="I151" s="205"/>
      <c r="J151" s="132" t="s">
        <v>159</v>
      </c>
      <c r="K151" s="133">
        <v>192.51</v>
      </c>
      <c r="L151" s="206">
        <v>0</v>
      </c>
      <c r="M151" s="205"/>
      <c r="N151" s="207">
        <f>ROUND($L$151*$K$151,2)</f>
        <v>0</v>
      </c>
      <c r="O151" s="205"/>
      <c r="P151" s="205"/>
      <c r="Q151" s="205"/>
      <c r="R151" s="24"/>
      <c r="T151" s="134"/>
      <c r="U151" s="30" t="s">
        <v>36</v>
      </c>
      <c r="V151" s="135">
        <v>0.066</v>
      </c>
      <c r="W151" s="135">
        <f>$V$151*$K$151</f>
        <v>12.70566</v>
      </c>
      <c r="X151" s="135">
        <v>0</v>
      </c>
      <c r="Y151" s="135">
        <f>$X$151*$K$151</f>
        <v>0</v>
      </c>
      <c r="Z151" s="135">
        <v>0</v>
      </c>
      <c r="AA151" s="136">
        <f>$Z$151*$K$151</f>
        <v>0</v>
      </c>
      <c r="AR151" s="6" t="s">
        <v>160</v>
      </c>
      <c r="AT151" s="6" t="s">
        <v>156</v>
      </c>
      <c r="AU151" s="6" t="s">
        <v>160</v>
      </c>
      <c r="AY151" s="6" t="s">
        <v>155</v>
      </c>
      <c r="BE151" s="84">
        <f>IF($U$151="základní",$N$151,0)</f>
        <v>0</v>
      </c>
      <c r="BF151" s="84">
        <f>IF($U$151="snížená",$N$151,0)</f>
        <v>0</v>
      </c>
      <c r="BG151" s="84">
        <f>IF($U$151="zákl. přenesená",$N$151,0)</f>
        <v>0</v>
      </c>
      <c r="BH151" s="84">
        <f>IF($U$151="sníž. přenesená",$N$151,0)</f>
        <v>0</v>
      </c>
      <c r="BI151" s="84">
        <f>IF($U$151="nulová",$N$151,0)</f>
        <v>0</v>
      </c>
      <c r="BJ151" s="6" t="s">
        <v>78</v>
      </c>
      <c r="BK151" s="84">
        <f>ROUND($L$151*$K$151,2)</f>
        <v>0</v>
      </c>
      <c r="BL151" s="6" t="s">
        <v>160</v>
      </c>
    </row>
    <row r="152" spans="2:64" s="6" customFormat="1" ht="27" customHeight="1">
      <c r="B152" s="22"/>
      <c r="C152" s="130" t="s">
        <v>180</v>
      </c>
      <c r="D152" s="130" t="s">
        <v>156</v>
      </c>
      <c r="E152" s="131" t="s">
        <v>181</v>
      </c>
      <c r="F152" s="204" t="s">
        <v>182</v>
      </c>
      <c r="G152" s="205"/>
      <c r="H152" s="205"/>
      <c r="I152" s="205"/>
      <c r="J152" s="132" t="s">
        <v>159</v>
      </c>
      <c r="K152" s="133">
        <v>192.51</v>
      </c>
      <c r="L152" s="206">
        <v>0</v>
      </c>
      <c r="M152" s="205"/>
      <c r="N152" s="207">
        <f>ROUND($L$152*$K$152,2)</f>
        <v>0</v>
      </c>
      <c r="O152" s="205"/>
      <c r="P152" s="205"/>
      <c r="Q152" s="205"/>
      <c r="R152" s="24"/>
      <c r="T152" s="134"/>
      <c r="U152" s="30" t="s">
        <v>36</v>
      </c>
      <c r="V152" s="135">
        <v>0.07</v>
      </c>
      <c r="W152" s="135">
        <f>$V$152*$K$152</f>
        <v>13.4757</v>
      </c>
      <c r="X152" s="135">
        <v>0</v>
      </c>
      <c r="Y152" s="135">
        <f>$X$152*$K$152</f>
        <v>0</v>
      </c>
      <c r="Z152" s="135">
        <v>0</v>
      </c>
      <c r="AA152" s="136">
        <f>$Z$152*$K$152</f>
        <v>0</v>
      </c>
      <c r="AR152" s="6" t="s">
        <v>160</v>
      </c>
      <c r="AT152" s="6" t="s">
        <v>156</v>
      </c>
      <c r="AU152" s="6" t="s">
        <v>160</v>
      </c>
      <c r="AY152" s="6" t="s">
        <v>155</v>
      </c>
      <c r="BE152" s="84">
        <f>IF($U$152="základní",$N$152,0)</f>
        <v>0</v>
      </c>
      <c r="BF152" s="84">
        <f>IF($U$152="snížená",$N$152,0)</f>
        <v>0</v>
      </c>
      <c r="BG152" s="84">
        <f>IF($U$152="zákl. přenesená",$N$152,0)</f>
        <v>0</v>
      </c>
      <c r="BH152" s="84">
        <f>IF($U$152="sníž. přenesená",$N$152,0)</f>
        <v>0</v>
      </c>
      <c r="BI152" s="84">
        <f>IF($U$152="nulová",$N$152,0)</f>
        <v>0</v>
      </c>
      <c r="BJ152" s="6" t="s">
        <v>78</v>
      </c>
      <c r="BK152" s="84">
        <f>ROUND($L$152*$K$152,2)</f>
        <v>0</v>
      </c>
      <c r="BL152" s="6" t="s">
        <v>160</v>
      </c>
    </row>
    <row r="153" spans="2:63" s="137" customFormat="1" ht="21.75" customHeight="1">
      <c r="B153" s="138"/>
      <c r="C153" s="139"/>
      <c r="D153" s="139" t="s">
        <v>115</v>
      </c>
      <c r="E153" s="139"/>
      <c r="F153" s="139"/>
      <c r="G153" s="139"/>
      <c r="H153" s="139"/>
      <c r="I153" s="139"/>
      <c r="J153" s="139"/>
      <c r="K153" s="139"/>
      <c r="L153" s="139"/>
      <c r="M153" s="139"/>
      <c r="N153" s="211">
        <f>$BK$153</f>
        <v>0</v>
      </c>
      <c r="O153" s="212"/>
      <c r="P153" s="212"/>
      <c r="Q153" s="212"/>
      <c r="R153" s="140"/>
      <c r="T153" s="141"/>
      <c r="U153" s="139"/>
      <c r="V153" s="139"/>
      <c r="W153" s="142">
        <f>SUM($W$154:$W$160)</f>
        <v>171.75508499999998</v>
      </c>
      <c r="X153" s="139"/>
      <c r="Y153" s="142">
        <f>SUM($Y$154:$Y$160)</f>
        <v>0</v>
      </c>
      <c r="Z153" s="139"/>
      <c r="AA153" s="143">
        <f>SUM($AA$154:$AA$160)</f>
        <v>0</v>
      </c>
      <c r="AR153" s="144" t="s">
        <v>78</v>
      </c>
      <c r="AT153" s="144" t="s">
        <v>70</v>
      </c>
      <c r="AU153" s="144" t="s">
        <v>161</v>
      </c>
      <c r="AY153" s="144" t="s">
        <v>155</v>
      </c>
      <c r="BK153" s="145">
        <f>SUM($BK$154:$BK$160)</f>
        <v>0</v>
      </c>
    </row>
    <row r="154" spans="2:64" s="6" customFormat="1" ht="27" customHeight="1">
      <c r="B154" s="22"/>
      <c r="C154" s="130" t="s">
        <v>183</v>
      </c>
      <c r="D154" s="130" t="s">
        <v>156</v>
      </c>
      <c r="E154" s="131" t="s">
        <v>184</v>
      </c>
      <c r="F154" s="204" t="s">
        <v>185</v>
      </c>
      <c r="G154" s="205"/>
      <c r="H154" s="205"/>
      <c r="I154" s="205"/>
      <c r="J154" s="132" t="s">
        <v>186</v>
      </c>
      <c r="K154" s="133">
        <v>213.9</v>
      </c>
      <c r="L154" s="206">
        <v>0</v>
      </c>
      <c r="M154" s="205"/>
      <c r="N154" s="207">
        <f>ROUND($L$154*$K$154,2)</f>
        <v>0</v>
      </c>
      <c r="O154" s="205"/>
      <c r="P154" s="205"/>
      <c r="Q154" s="205"/>
      <c r="R154" s="24"/>
      <c r="T154" s="134"/>
      <c r="U154" s="30" t="s">
        <v>36</v>
      </c>
      <c r="V154" s="135">
        <v>0.089</v>
      </c>
      <c r="W154" s="135">
        <f>$V$154*$K$154</f>
        <v>19.0371</v>
      </c>
      <c r="X154" s="135">
        <v>0</v>
      </c>
      <c r="Y154" s="135">
        <f>$X$154*$K$154</f>
        <v>0</v>
      </c>
      <c r="Z154" s="135">
        <v>0</v>
      </c>
      <c r="AA154" s="136">
        <f>$Z$154*$K$154</f>
        <v>0</v>
      </c>
      <c r="AR154" s="6" t="s">
        <v>160</v>
      </c>
      <c r="AT154" s="6" t="s">
        <v>156</v>
      </c>
      <c r="AU154" s="6" t="s">
        <v>160</v>
      </c>
      <c r="AY154" s="6" t="s">
        <v>155</v>
      </c>
      <c r="BE154" s="84">
        <f>IF($U$154="základní",$N$154,0)</f>
        <v>0</v>
      </c>
      <c r="BF154" s="84">
        <f>IF($U$154="snížená",$N$154,0)</f>
        <v>0</v>
      </c>
      <c r="BG154" s="84">
        <f>IF($U$154="zákl. přenesená",$N$154,0)</f>
        <v>0</v>
      </c>
      <c r="BH154" s="84">
        <f>IF($U$154="sníž. přenesená",$N$154,0)</f>
        <v>0</v>
      </c>
      <c r="BI154" s="84">
        <f>IF($U$154="nulová",$N$154,0)</f>
        <v>0</v>
      </c>
      <c r="BJ154" s="6" t="s">
        <v>78</v>
      </c>
      <c r="BK154" s="84">
        <f>ROUND($L$154*$K$154,2)</f>
        <v>0</v>
      </c>
      <c r="BL154" s="6" t="s">
        <v>160</v>
      </c>
    </row>
    <row r="155" spans="2:64" s="6" customFormat="1" ht="27" customHeight="1">
      <c r="B155" s="22"/>
      <c r="C155" s="130" t="s">
        <v>187</v>
      </c>
      <c r="D155" s="130" t="s">
        <v>156</v>
      </c>
      <c r="E155" s="131" t="s">
        <v>188</v>
      </c>
      <c r="F155" s="204" t="s">
        <v>189</v>
      </c>
      <c r="G155" s="205"/>
      <c r="H155" s="205"/>
      <c r="I155" s="205"/>
      <c r="J155" s="132" t="s">
        <v>186</v>
      </c>
      <c r="K155" s="133">
        <v>213.9</v>
      </c>
      <c r="L155" s="206">
        <v>0</v>
      </c>
      <c r="M155" s="205"/>
      <c r="N155" s="207">
        <f>ROUND($L$155*$K$155,2)</f>
        <v>0</v>
      </c>
      <c r="O155" s="205"/>
      <c r="P155" s="205"/>
      <c r="Q155" s="205"/>
      <c r="R155" s="24"/>
      <c r="T155" s="134"/>
      <c r="U155" s="30" t="s">
        <v>36</v>
      </c>
      <c r="V155" s="135">
        <v>0.124</v>
      </c>
      <c r="W155" s="135">
        <f>$V$155*$K$155</f>
        <v>26.523600000000002</v>
      </c>
      <c r="X155" s="135">
        <v>0</v>
      </c>
      <c r="Y155" s="135">
        <f>$X$155*$K$155</f>
        <v>0</v>
      </c>
      <c r="Z155" s="135">
        <v>0</v>
      </c>
      <c r="AA155" s="136">
        <f>$Z$155*$K$155</f>
        <v>0</v>
      </c>
      <c r="AR155" s="6" t="s">
        <v>160</v>
      </c>
      <c r="AT155" s="6" t="s">
        <v>156</v>
      </c>
      <c r="AU155" s="6" t="s">
        <v>160</v>
      </c>
      <c r="AY155" s="6" t="s">
        <v>155</v>
      </c>
      <c r="BE155" s="84">
        <f>IF($U$155="základní",$N$155,0)</f>
        <v>0</v>
      </c>
      <c r="BF155" s="84">
        <f>IF($U$155="snížená",$N$155,0)</f>
        <v>0</v>
      </c>
      <c r="BG155" s="84">
        <f>IF($U$155="zákl. přenesená",$N$155,0)</f>
        <v>0</v>
      </c>
      <c r="BH155" s="84">
        <f>IF($U$155="sníž. přenesená",$N$155,0)</f>
        <v>0</v>
      </c>
      <c r="BI155" s="84">
        <f>IF($U$155="nulová",$N$155,0)</f>
        <v>0</v>
      </c>
      <c r="BJ155" s="6" t="s">
        <v>78</v>
      </c>
      <c r="BK155" s="84">
        <f>ROUND($L$155*$K$155,2)</f>
        <v>0</v>
      </c>
      <c r="BL155" s="6" t="s">
        <v>160</v>
      </c>
    </row>
    <row r="156" spans="2:64" s="6" customFormat="1" ht="39" customHeight="1">
      <c r="B156" s="22"/>
      <c r="C156" s="130" t="s">
        <v>190</v>
      </c>
      <c r="D156" s="130" t="s">
        <v>156</v>
      </c>
      <c r="E156" s="131" t="s">
        <v>191</v>
      </c>
      <c r="F156" s="204" t="s">
        <v>192</v>
      </c>
      <c r="G156" s="205"/>
      <c r="H156" s="205"/>
      <c r="I156" s="205"/>
      <c r="J156" s="132" t="s">
        <v>186</v>
      </c>
      <c r="K156" s="133">
        <v>213.9</v>
      </c>
      <c r="L156" s="206">
        <v>0</v>
      </c>
      <c r="M156" s="205"/>
      <c r="N156" s="207">
        <f>ROUND($L$156*$K$156,2)</f>
        <v>0</v>
      </c>
      <c r="O156" s="205"/>
      <c r="P156" s="205"/>
      <c r="Q156" s="205"/>
      <c r="R156" s="24"/>
      <c r="T156" s="134"/>
      <c r="U156" s="30" t="s">
        <v>36</v>
      </c>
      <c r="V156" s="135">
        <v>0</v>
      </c>
      <c r="W156" s="135">
        <f>$V$156*$K$156</f>
        <v>0</v>
      </c>
      <c r="X156" s="135">
        <v>0</v>
      </c>
      <c r="Y156" s="135">
        <f>$X$156*$K$156</f>
        <v>0</v>
      </c>
      <c r="Z156" s="135">
        <v>0</v>
      </c>
      <c r="AA156" s="136">
        <f>$Z$156*$K$156</f>
        <v>0</v>
      </c>
      <c r="AR156" s="6" t="s">
        <v>160</v>
      </c>
      <c r="AT156" s="6" t="s">
        <v>156</v>
      </c>
      <c r="AU156" s="6" t="s">
        <v>160</v>
      </c>
      <c r="AY156" s="6" t="s">
        <v>155</v>
      </c>
      <c r="BE156" s="84">
        <f>IF($U$156="základní",$N$156,0)</f>
        <v>0</v>
      </c>
      <c r="BF156" s="84">
        <f>IF($U$156="snížená",$N$156,0)</f>
        <v>0</v>
      </c>
      <c r="BG156" s="84">
        <f>IF($U$156="zákl. přenesená",$N$156,0)</f>
        <v>0</v>
      </c>
      <c r="BH156" s="84">
        <f>IF($U$156="sníž. přenesená",$N$156,0)</f>
        <v>0</v>
      </c>
      <c r="BI156" s="84">
        <f>IF($U$156="nulová",$N$156,0)</f>
        <v>0</v>
      </c>
      <c r="BJ156" s="6" t="s">
        <v>78</v>
      </c>
      <c r="BK156" s="84">
        <f>ROUND($L$156*$K$156,2)</f>
        <v>0</v>
      </c>
      <c r="BL156" s="6" t="s">
        <v>160</v>
      </c>
    </row>
    <row r="157" spans="2:64" s="6" customFormat="1" ht="39" customHeight="1">
      <c r="B157" s="22"/>
      <c r="C157" s="130" t="s">
        <v>193</v>
      </c>
      <c r="D157" s="130" t="s">
        <v>156</v>
      </c>
      <c r="E157" s="131" t="s">
        <v>194</v>
      </c>
      <c r="F157" s="204" t="s">
        <v>195</v>
      </c>
      <c r="G157" s="205"/>
      <c r="H157" s="205"/>
      <c r="I157" s="205"/>
      <c r="J157" s="132" t="s">
        <v>186</v>
      </c>
      <c r="K157" s="133">
        <v>213.9</v>
      </c>
      <c r="L157" s="206">
        <v>0</v>
      </c>
      <c r="M157" s="205"/>
      <c r="N157" s="207">
        <f>ROUND($L$157*$K$157,2)</f>
        <v>0</v>
      </c>
      <c r="O157" s="205"/>
      <c r="P157" s="205"/>
      <c r="Q157" s="205"/>
      <c r="R157" s="24"/>
      <c r="T157" s="134"/>
      <c r="U157" s="30" t="s">
        <v>36</v>
      </c>
      <c r="V157" s="135">
        <v>0</v>
      </c>
      <c r="W157" s="135">
        <f>$V$157*$K$157</f>
        <v>0</v>
      </c>
      <c r="X157" s="135">
        <v>0</v>
      </c>
      <c r="Y157" s="135">
        <f>$X$157*$K$157</f>
        <v>0</v>
      </c>
      <c r="Z157" s="135">
        <v>0</v>
      </c>
      <c r="AA157" s="136">
        <f>$Z$157*$K$157</f>
        <v>0</v>
      </c>
      <c r="AR157" s="6" t="s">
        <v>160</v>
      </c>
      <c r="AT157" s="6" t="s">
        <v>156</v>
      </c>
      <c r="AU157" s="6" t="s">
        <v>160</v>
      </c>
      <c r="AY157" s="6" t="s">
        <v>155</v>
      </c>
      <c r="BE157" s="84">
        <f>IF($U$157="základní",$N$157,0)</f>
        <v>0</v>
      </c>
      <c r="BF157" s="84">
        <f>IF($U$157="snížená",$N$157,0)</f>
        <v>0</v>
      </c>
      <c r="BG157" s="84">
        <f>IF($U$157="zákl. přenesená",$N$157,0)</f>
        <v>0</v>
      </c>
      <c r="BH157" s="84">
        <f>IF($U$157="sníž. přenesená",$N$157,0)</f>
        <v>0</v>
      </c>
      <c r="BI157" s="84">
        <f>IF($U$157="nulová",$N$157,0)</f>
        <v>0</v>
      </c>
      <c r="BJ157" s="6" t="s">
        <v>78</v>
      </c>
      <c r="BK157" s="84">
        <f>ROUND($L$157*$K$157,2)</f>
        <v>0</v>
      </c>
      <c r="BL157" s="6" t="s">
        <v>160</v>
      </c>
    </row>
    <row r="158" spans="2:64" s="6" customFormat="1" ht="27" customHeight="1">
      <c r="B158" s="22"/>
      <c r="C158" s="130" t="s">
        <v>196</v>
      </c>
      <c r="D158" s="130" t="s">
        <v>156</v>
      </c>
      <c r="E158" s="131" t="s">
        <v>197</v>
      </c>
      <c r="F158" s="204" t="s">
        <v>198</v>
      </c>
      <c r="G158" s="205"/>
      <c r="H158" s="205"/>
      <c r="I158" s="205"/>
      <c r="J158" s="132" t="s">
        <v>186</v>
      </c>
      <c r="K158" s="133">
        <v>213.9</v>
      </c>
      <c r="L158" s="206">
        <v>0</v>
      </c>
      <c r="M158" s="205"/>
      <c r="N158" s="207">
        <f>ROUND($L$158*$K$158,2)</f>
        <v>0</v>
      </c>
      <c r="O158" s="205"/>
      <c r="P158" s="205"/>
      <c r="Q158" s="205"/>
      <c r="R158" s="24"/>
      <c r="T158" s="134"/>
      <c r="U158" s="30" t="s">
        <v>36</v>
      </c>
      <c r="V158" s="135">
        <v>0.086</v>
      </c>
      <c r="W158" s="135">
        <f>$V$158*$K$158</f>
        <v>18.3954</v>
      </c>
      <c r="X158" s="135">
        <v>0</v>
      </c>
      <c r="Y158" s="135">
        <f>$X$158*$K$158</f>
        <v>0</v>
      </c>
      <c r="Z158" s="135">
        <v>0</v>
      </c>
      <c r="AA158" s="136">
        <f>$Z$158*$K$158</f>
        <v>0</v>
      </c>
      <c r="AR158" s="6" t="s">
        <v>160</v>
      </c>
      <c r="AT158" s="6" t="s">
        <v>156</v>
      </c>
      <c r="AU158" s="6" t="s">
        <v>160</v>
      </c>
      <c r="AY158" s="6" t="s">
        <v>155</v>
      </c>
      <c r="BE158" s="84">
        <f>IF($U$158="základní",$N$158,0)</f>
        <v>0</v>
      </c>
      <c r="BF158" s="84">
        <f>IF($U$158="snížená",$N$158,0)</f>
        <v>0</v>
      </c>
      <c r="BG158" s="84">
        <f>IF($U$158="zákl. přenesená",$N$158,0)</f>
        <v>0</v>
      </c>
      <c r="BH158" s="84">
        <f>IF($U$158="sníž. přenesená",$N$158,0)</f>
        <v>0</v>
      </c>
      <c r="BI158" s="84">
        <f>IF($U$158="nulová",$N$158,0)</f>
        <v>0</v>
      </c>
      <c r="BJ158" s="6" t="s">
        <v>78</v>
      </c>
      <c r="BK158" s="84">
        <f>ROUND($L$158*$K$158,2)</f>
        <v>0</v>
      </c>
      <c r="BL158" s="6" t="s">
        <v>160</v>
      </c>
    </row>
    <row r="159" spans="2:64" s="6" customFormat="1" ht="27" customHeight="1">
      <c r="B159" s="22"/>
      <c r="C159" s="130" t="s">
        <v>8</v>
      </c>
      <c r="D159" s="130" t="s">
        <v>156</v>
      </c>
      <c r="E159" s="131" t="s">
        <v>199</v>
      </c>
      <c r="F159" s="204" t="s">
        <v>200</v>
      </c>
      <c r="G159" s="205"/>
      <c r="H159" s="205"/>
      <c r="I159" s="205"/>
      <c r="J159" s="132" t="s">
        <v>186</v>
      </c>
      <c r="K159" s="133">
        <v>213.9</v>
      </c>
      <c r="L159" s="206">
        <v>0</v>
      </c>
      <c r="M159" s="205"/>
      <c r="N159" s="207">
        <f>ROUND($L$159*$K$159,2)</f>
        <v>0</v>
      </c>
      <c r="O159" s="205"/>
      <c r="P159" s="205"/>
      <c r="Q159" s="205"/>
      <c r="R159" s="24"/>
      <c r="T159" s="134"/>
      <c r="U159" s="30" t="s">
        <v>36</v>
      </c>
      <c r="V159" s="135">
        <v>0.105</v>
      </c>
      <c r="W159" s="135">
        <f>$V$159*$K$159</f>
        <v>22.4595</v>
      </c>
      <c r="X159" s="135">
        <v>0</v>
      </c>
      <c r="Y159" s="135">
        <f>$X$159*$K$159</f>
        <v>0</v>
      </c>
      <c r="Z159" s="135">
        <v>0</v>
      </c>
      <c r="AA159" s="136">
        <f>$Z$159*$K$159</f>
        <v>0</v>
      </c>
      <c r="AR159" s="6" t="s">
        <v>160</v>
      </c>
      <c r="AT159" s="6" t="s">
        <v>156</v>
      </c>
      <c r="AU159" s="6" t="s">
        <v>160</v>
      </c>
      <c r="AY159" s="6" t="s">
        <v>155</v>
      </c>
      <c r="BE159" s="84">
        <f>IF($U$159="základní",$N$159,0)</f>
        <v>0</v>
      </c>
      <c r="BF159" s="84">
        <f>IF($U$159="snížená",$N$159,0)</f>
        <v>0</v>
      </c>
      <c r="BG159" s="84">
        <f>IF($U$159="zákl. přenesená",$N$159,0)</f>
        <v>0</v>
      </c>
      <c r="BH159" s="84">
        <f>IF($U$159="sníž. přenesená",$N$159,0)</f>
        <v>0</v>
      </c>
      <c r="BI159" s="84">
        <f>IF($U$159="nulová",$N$159,0)</f>
        <v>0</v>
      </c>
      <c r="BJ159" s="6" t="s">
        <v>78</v>
      </c>
      <c r="BK159" s="84">
        <f>ROUND($L$159*$K$159,2)</f>
        <v>0</v>
      </c>
      <c r="BL159" s="6" t="s">
        <v>160</v>
      </c>
    </row>
    <row r="160" spans="2:64" s="6" customFormat="1" ht="39" customHeight="1">
      <c r="B160" s="22"/>
      <c r="C160" s="130" t="s">
        <v>201</v>
      </c>
      <c r="D160" s="130" t="s">
        <v>156</v>
      </c>
      <c r="E160" s="131" t="s">
        <v>202</v>
      </c>
      <c r="F160" s="204" t="s">
        <v>203</v>
      </c>
      <c r="G160" s="205"/>
      <c r="H160" s="205"/>
      <c r="I160" s="205"/>
      <c r="J160" s="132" t="s">
        <v>186</v>
      </c>
      <c r="K160" s="133">
        <v>812.757</v>
      </c>
      <c r="L160" s="206">
        <v>0</v>
      </c>
      <c r="M160" s="205"/>
      <c r="N160" s="207">
        <f>ROUND($L$160*$K$160,2)</f>
        <v>0</v>
      </c>
      <c r="O160" s="205"/>
      <c r="P160" s="205"/>
      <c r="Q160" s="205"/>
      <c r="R160" s="24"/>
      <c r="T160" s="134"/>
      <c r="U160" s="30" t="s">
        <v>36</v>
      </c>
      <c r="V160" s="135">
        <v>0.105</v>
      </c>
      <c r="W160" s="135">
        <f>$V$160*$K$160</f>
        <v>85.339485</v>
      </c>
      <c r="X160" s="135">
        <v>0</v>
      </c>
      <c r="Y160" s="135">
        <f>$X$160*$K$160</f>
        <v>0</v>
      </c>
      <c r="Z160" s="135">
        <v>0</v>
      </c>
      <c r="AA160" s="136">
        <f>$Z$160*$K$160</f>
        <v>0</v>
      </c>
      <c r="AR160" s="6" t="s">
        <v>160</v>
      </c>
      <c r="AT160" s="6" t="s">
        <v>156</v>
      </c>
      <c r="AU160" s="6" t="s">
        <v>160</v>
      </c>
      <c r="AY160" s="6" t="s">
        <v>155</v>
      </c>
      <c r="BE160" s="84">
        <f>IF($U$160="základní",$N$160,0)</f>
        <v>0</v>
      </c>
      <c r="BF160" s="84">
        <f>IF($U$160="snížená",$N$160,0)</f>
        <v>0</v>
      </c>
      <c r="BG160" s="84">
        <f>IF($U$160="zákl. přenesená",$N$160,0)</f>
        <v>0</v>
      </c>
      <c r="BH160" s="84">
        <f>IF($U$160="sníž. přenesená",$N$160,0)</f>
        <v>0</v>
      </c>
      <c r="BI160" s="84">
        <f>IF($U$160="nulová",$N$160,0)</f>
        <v>0</v>
      </c>
      <c r="BJ160" s="6" t="s">
        <v>78</v>
      </c>
      <c r="BK160" s="84">
        <f>ROUND($L$160*$K$160,2)</f>
        <v>0</v>
      </c>
      <c r="BL160" s="6" t="s">
        <v>160</v>
      </c>
    </row>
    <row r="161" spans="2:63" s="119" customFormat="1" ht="23.25" customHeight="1">
      <c r="B161" s="120"/>
      <c r="C161" s="121"/>
      <c r="D161" s="129" t="s">
        <v>116</v>
      </c>
      <c r="E161" s="121"/>
      <c r="F161" s="121"/>
      <c r="G161" s="121"/>
      <c r="H161" s="121"/>
      <c r="I161" s="121"/>
      <c r="J161" s="121"/>
      <c r="K161" s="121"/>
      <c r="L161" s="121"/>
      <c r="M161" s="121"/>
      <c r="N161" s="201">
        <f>$BK$161</f>
        <v>0</v>
      </c>
      <c r="O161" s="202"/>
      <c r="P161" s="202"/>
      <c r="Q161" s="202"/>
      <c r="R161" s="123"/>
      <c r="T161" s="124"/>
      <c r="U161" s="121"/>
      <c r="V161" s="121"/>
      <c r="W161" s="125">
        <f>$W$162</f>
        <v>0.19188</v>
      </c>
      <c r="X161" s="121"/>
      <c r="Y161" s="125">
        <f>$Y$162</f>
        <v>0</v>
      </c>
      <c r="Z161" s="121"/>
      <c r="AA161" s="126">
        <f>$AA$162</f>
        <v>0</v>
      </c>
      <c r="AR161" s="127" t="s">
        <v>78</v>
      </c>
      <c r="AT161" s="127" t="s">
        <v>70</v>
      </c>
      <c r="AU161" s="127" t="s">
        <v>99</v>
      </c>
      <c r="AY161" s="127" t="s">
        <v>155</v>
      </c>
      <c r="BK161" s="128">
        <f>$BK$162</f>
        <v>0</v>
      </c>
    </row>
    <row r="162" spans="2:64" s="6" customFormat="1" ht="15.75" customHeight="1">
      <c r="B162" s="22"/>
      <c r="C162" s="130" t="s">
        <v>204</v>
      </c>
      <c r="D162" s="130" t="s">
        <v>156</v>
      </c>
      <c r="E162" s="131" t="s">
        <v>205</v>
      </c>
      <c r="F162" s="204" t="s">
        <v>206</v>
      </c>
      <c r="G162" s="205"/>
      <c r="H162" s="205"/>
      <c r="I162" s="205"/>
      <c r="J162" s="132" t="s">
        <v>207</v>
      </c>
      <c r="K162" s="133">
        <v>0.585</v>
      </c>
      <c r="L162" s="206">
        <v>0</v>
      </c>
      <c r="M162" s="205"/>
      <c r="N162" s="207">
        <f>ROUND($L$162*$K$162,2)</f>
        <v>0</v>
      </c>
      <c r="O162" s="205"/>
      <c r="P162" s="205"/>
      <c r="Q162" s="205"/>
      <c r="R162" s="24"/>
      <c r="T162" s="134"/>
      <c r="U162" s="30" t="s">
        <v>36</v>
      </c>
      <c r="V162" s="135">
        <v>0.328</v>
      </c>
      <c r="W162" s="135">
        <f>$V$162*$K$162</f>
        <v>0.19188</v>
      </c>
      <c r="X162" s="135">
        <v>0</v>
      </c>
      <c r="Y162" s="135">
        <f>$X$162*$K$162</f>
        <v>0</v>
      </c>
      <c r="Z162" s="135">
        <v>0</v>
      </c>
      <c r="AA162" s="136">
        <f>$Z$162*$K$162</f>
        <v>0</v>
      </c>
      <c r="AR162" s="6" t="s">
        <v>160</v>
      </c>
      <c r="AT162" s="6" t="s">
        <v>156</v>
      </c>
      <c r="AU162" s="6" t="s">
        <v>161</v>
      </c>
      <c r="AY162" s="6" t="s">
        <v>155</v>
      </c>
      <c r="BE162" s="84">
        <f>IF($U$162="základní",$N$162,0)</f>
        <v>0</v>
      </c>
      <c r="BF162" s="84">
        <f>IF($U$162="snížená",$N$162,0)</f>
        <v>0</v>
      </c>
      <c r="BG162" s="84">
        <f>IF($U$162="zákl. přenesená",$N$162,0)</f>
        <v>0</v>
      </c>
      <c r="BH162" s="84">
        <f>IF($U$162="sníž. přenesená",$N$162,0)</f>
        <v>0</v>
      </c>
      <c r="BI162" s="84">
        <f>IF($U$162="nulová",$N$162,0)</f>
        <v>0</v>
      </c>
      <c r="BJ162" s="6" t="s">
        <v>78</v>
      </c>
      <c r="BK162" s="84">
        <f>ROUND($L$162*$K$162,2)</f>
        <v>0</v>
      </c>
      <c r="BL162" s="6" t="s">
        <v>160</v>
      </c>
    </row>
    <row r="163" spans="2:63" s="119" customFormat="1" ht="37.5" customHeight="1">
      <c r="B163" s="120"/>
      <c r="C163" s="121"/>
      <c r="D163" s="122" t="s">
        <v>117</v>
      </c>
      <c r="E163" s="121"/>
      <c r="F163" s="121"/>
      <c r="G163" s="121"/>
      <c r="H163" s="121"/>
      <c r="I163" s="121"/>
      <c r="J163" s="121"/>
      <c r="K163" s="121"/>
      <c r="L163" s="121"/>
      <c r="M163" s="121"/>
      <c r="N163" s="203">
        <f>$BK$163</f>
        <v>0</v>
      </c>
      <c r="O163" s="202"/>
      <c r="P163" s="202"/>
      <c r="Q163" s="202"/>
      <c r="R163" s="123"/>
      <c r="T163" s="124"/>
      <c r="U163" s="121"/>
      <c r="V163" s="121"/>
      <c r="W163" s="125">
        <f>$W$164+$W$168+$W$170</f>
        <v>1461.1486029999999</v>
      </c>
      <c r="X163" s="121"/>
      <c r="Y163" s="125">
        <f>$Y$164+$Y$168+$Y$170</f>
        <v>13.61851953</v>
      </c>
      <c r="Z163" s="121"/>
      <c r="AA163" s="126">
        <f>$AA$164+$AA$168+$AA$170</f>
        <v>3.92387762</v>
      </c>
      <c r="AR163" s="127" t="s">
        <v>99</v>
      </c>
      <c r="AT163" s="127" t="s">
        <v>70</v>
      </c>
      <c r="AU163" s="127" t="s">
        <v>71</v>
      </c>
      <c r="AY163" s="127" t="s">
        <v>155</v>
      </c>
      <c r="BK163" s="128">
        <f>$BK$164+$BK$168+$BK$170</f>
        <v>0</v>
      </c>
    </row>
    <row r="164" spans="2:63" s="119" customFormat="1" ht="21" customHeight="1">
      <c r="B164" s="120"/>
      <c r="C164" s="121"/>
      <c r="D164" s="129" t="s">
        <v>118</v>
      </c>
      <c r="E164" s="121"/>
      <c r="F164" s="121"/>
      <c r="G164" s="121"/>
      <c r="H164" s="121"/>
      <c r="I164" s="121"/>
      <c r="J164" s="121"/>
      <c r="K164" s="121"/>
      <c r="L164" s="121"/>
      <c r="M164" s="121"/>
      <c r="N164" s="201">
        <f>$BK$164</f>
        <v>0</v>
      </c>
      <c r="O164" s="202"/>
      <c r="P164" s="202"/>
      <c r="Q164" s="202"/>
      <c r="R164" s="123"/>
      <c r="T164" s="124"/>
      <c r="U164" s="121"/>
      <c r="V164" s="121"/>
      <c r="W164" s="125">
        <f>SUM($W$165:$W$167)</f>
        <v>51.544576</v>
      </c>
      <c r="X164" s="121"/>
      <c r="Y164" s="125">
        <f>SUM($Y$165:$Y$167)</f>
        <v>2.0134600000000002</v>
      </c>
      <c r="Z164" s="121"/>
      <c r="AA164" s="126">
        <f>SUM($AA$165:$AA$167)</f>
        <v>0</v>
      </c>
      <c r="AR164" s="127" t="s">
        <v>99</v>
      </c>
      <c r="AT164" s="127" t="s">
        <v>70</v>
      </c>
      <c r="AU164" s="127" t="s">
        <v>78</v>
      </c>
      <c r="AY164" s="127" t="s">
        <v>155</v>
      </c>
      <c r="BK164" s="128">
        <f>SUM($BK$165:$BK$167)</f>
        <v>0</v>
      </c>
    </row>
    <row r="165" spans="2:64" s="6" customFormat="1" ht="15.75" customHeight="1">
      <c r="B165" s="22"/>
      <c r="C165" s="130" t="s">
        <v>208</v>
      </c>
      <c r="D165" s="130" t="s">
        <v>156</v>
      </c>
      <c r="E165" s="131" t="s">
        <v>209</v>
      </c>
      <c r="F165" s="204" t="s">
        <v>210</v>
      </c>
      <c r="G165" s="205"/>
      <c r="H165" s="205"/>
      <c r="I165" s="205"/>
      <c r="J165" s="132" t="s">
        <v>159</v>
      </c>
      <c r="K165" s="133">
        <v>402.692</v>
      </c>
      <c r="L165" s="206">
        <v>0</v>
      </c>
      <c r="M165" s="205"/>
      <c r="N165" s="207">
        <f>ROUND($L$165*$K$165,2)</f>
        <v>0</v>
      </c>
      <c r="O165" s="205"/>
      <c r="P165" s="205"/>
      <c r="Q165" s="205"/>
      <c r="R165" s="24"/>
      <c r="T165" s="134"/>
      <c r="U165" s="30" t="s">
        <v>36</v>
      </c>
      <c r="V165" s="135">
        <v>0.128</v>
      </c>
      <c r="W165" s="135">
        <f>$V$165*$K$165</f>
        <v>51.544576</v>
      </c>
      <c r="X165" s="135">
        <v>0</v>
      </c>
      <c r="Y165" s="135">
        <f>$X$165*$K$165</f>
        <v>0</v>
      </c>
      <c r="Z165" s="135">
        <v>0</v>
      </c>
      <c r="AA165" s="136">
        <f>$Z$165*$K$165</f>
        <v>0</v>
      </c>
      <c r="AR165" s="6" t="s">
        <v>201</v>
      </c>
      <c r="AT165" s="6" t="s">
        <v>156</v>
      </c>
      <c r="AU165" s="6" t="s">
        <v>99</v>
      </c>
      <c r="AY165" s="6" t="s">
        <v>155</v>
      </c>
      <c r="BE165" s="84">
        <f>IF($U$165="základní",$N$165,0)</f>
        <v>0</v>
      </c>
      <c r="BF165" s="84">
        <f>IF($U$165="snížená",$N$165,0)</f>
        <v>0</v>
      </c>
      <c r="BG165" s="84">
        <f>IF($U$165="zákl. přenesená",$N$165,0)</f>
        <v>0</v>
      </c>
      <c r="BH165" s="84">
        <f>IF($U$165="sníž. přenesená",$N$165,0)</f>
        <v>0</v>
      </c>
      <c r="BI165" s="84">
        <f>IF($U$165="nulová",$N$165,0)</f>
        <v>0</v>
      </c>
      <c r="BJ165" s="6" t="s">
        <v>78</v>
      </c>
      <c r="BK165" s="84">
        <f>ROUND($L$165*$K$165,2)</f>
        <v>0</v>
      </c>
      <c r="BL165" s="6" t="s">
        <v>201</v>
      </c>
    </row>
    <row r="166" spans="2:64" s="6" customFormat="1" ht="15.75" customHeight="1">
      <c r="B166" s="22"/>
      <c r="C166" s="146" t="s">
        <v>211</v>
      </c>
      <c r="D166" s="146" t="s">
        <v>212</v>
      </c>
      <c r="E166" s="147" t="s">
        <v>213</v>
      </c>
      <c r="F166" s="213" t="s">
        <v>214</v>
      </c>
      <c r="G166" s="214"/>
      <c r="H166" s="214"/>
      <c r="I166" s="214"/>
      <c r="J166" s="148" t="s">
        <v>159</v>
      </c>
      <c r="K166" s="149">
        <v>402.692</v>
      </c>
      <c r="L166" s="215">
        <v>0</v>
      </c>
      <c r="M166" s="214"/>
      <c r="N166" s="216">
        <f>ROUND($L$166*$K$166,2)</f>
        <v>0</v>
      </c>
      <c r="O166" s="205"/>
      <c r="P166" s="205"/>
      <c r="Q166" s="205"/>
      <c r="R166" s="24"/>
      <c r="T166" s="134"/>
      <c r="U166" s="30" t="s">
        <v>36</v>
      </c>
      <c r="V166" s="135">
        <v>0</v>
      </c>
      <c r="W166" s="135">
        <f>$V$166*$K$166</f>
        <v>0</v>
      </c>
      <c r="X166" s="135">
        <v>0.005</v>
      </c>
      <c r="Y166" s="135">
        <f>$X$166*$K$166</f>
        <v>2.0134600000000002</v>
      </c>
      <c r="Z166" s="135">
        <v>0</v>
      </c>
      <c r="AA166" s="136">
        <f>$Z$166*$K$166</f>
        <v>0</v>
      </c>
      <c r="AR166" s="6" t="s">
        <v>215</v>
      </c>
      <c r="AT166" s="6" t="s">
        <v>212</v>
      </c>
      <c r="AU166" s="6" t="s">
        <v>99</v>
      </c>
      <c r="AY166" s="6" t="s">
        <v>155</v>
      </c>
      <c r="BE166" s="84">
        <f>IF($U$166="základní",$N$166,0)</f>
        <v>0</v>
      </c>
      <c r="BF166" s="84">
        <f>IF($U$166="snížená",$N$166,0)</f>
        <v>0</v>
      </c>
      <c r="BG166" s="84">
        <f>IF($U$166="zákl. přenesená",$N$166,0)</f>
        <v>0</v>
      </c>
      <c r="BH166" s="84">
        <f>IF($U$166="sníž. přenesená",$N$166,0)</f>
        <v>0</v>
      </c>
      <c r="BI166" s="84">
        <f>IF($U$166="nulová",$N$166,0)</f>
        <v>0</v>
      </c>
      <c r="BJ166" s="6" t="s">
        <v>78</v>
      </c>
      <c r="BK166" s="84">
        <f>ROUND($L$166*$K$166,2)</f>
        <v>0</v>
      </c>
      <c r="BL166" s="6" t="s">
        <v>201</v>
      </c>
    </row>
    <row r="167" spans="2:64" s="6" customFormat="1" ht="27" customHeight="1">
      <c r="B167" s="22"/>
      <c r="C167" s="130" t="s">
        <v>216</v>
      </c>
      <c r="D167" s="130" t="s">
        <v>156</v>
      </c>
      <c r="E167" s="131" t="s">
        <v>217</v>
      </c>
      <c r="F167" s="204" t="s">
        <v>218</v>
      </c>
      <c r="G167" s="205"/>
      <c r="H167" s="205"/>
      <c r="I167" s="205"/>
      <c r="J167" s="132" t="s">
        <v>219</v>
      </c>
      <c r="K167" s="133">
        <v>0</v>
      </c>
      <c r="L167" s="206">
        <v>0</v>
      </c>
      <c r="M167" s="205"/>
      <c r="N167" s="207">
        <f>ROUND($L$167*$K$167,2)</f>
        <v>0</v>
      </c>
      <c r="O167" s="205"/>
      <c r="P167" s="205"/>
      <c r="Q167" s="205"/>
      <c r="R167" s="24"/>
      <c r="T167" s="134"/>
      <c r="U167" s="30" t="s">
        <v>36</v>
      </c>
      <c r="V167" s="135">
        <v>0</v>
      </c>
      <c r="W167" s="135">
        <f>$V$167*$K$167</f>
        <v>0</v>
      </c>
      <c r="X167" s="135">
        <v>0</v>
      </c>
      <c r="Y167" s="135">
        <f>$X$167*$K$167</f>
        <v>0</v>
      </c>
      <c r="Z167" s="135">
        <v>0</v>
      </c>
      <c r="AA167" s="136">
        <f>$Z$167*$K$167</f>
        <v>0</v>
      </c>
      <c r="AR167" s="6" t="s">
        <v>201</v>
      </c>
      <c r="AT167" s="6" t="s">
        <v>156</v>
      </c>
      <c r="AU167" s="6" t="s">
        <v>99</v>
      </c>
      <c r="AY167" s="6" t="s">
        <v>155</v>
      </c>
      <c r="BE167" s="84">
        <f>IF($U$167="základní",$N$167,0)</f>
        <v>0</v>
      </c>
      <c r="BF167" s="84">
        <f>IF($U$167="snížená",$N$167,0)</f>
        <v>0</v>
      </c>
      <c r="BG167" s="84">
        <f>IF($U$167="zákl. přenesená",$N$167,0)</f>
        <v>0</v>
      </c>
      <c r="BH167" s="84">
        <f>IF($U$167="sníž. přenesená",$N$167,0)</f>
        <v>0</v>
      </c>
      <c r="BI167" s="84">
        <f>IF($U$167="nulová",$N$167,0)</f>
        <v>0</v>
      </c>
      <c r="BJ167" s="6" t="s">
        <v>78</v>
      </c>
      <c r="BK167" s="84">
        <f>ROUND($L$167*$K$167,2)</f>
        <v>0</v>
      </c>
      <c r="BL167" s="6" t="s">
        <v>201</v>
      </c>
    </row>
    <row r="168" spans="2:63" s="119" customFormat="1" ht="30.75" customHeight="1">
      <c r="B168" s="120"/>
      <c r="C168" s="121"/>
      <c r="D168" s="129" t="s">
        <v>119</v>
      </c>
      <c r="E168" s="121"/>
      <c r="F168" s="121"/>
      <c r="G168" s="121"/>
      <c r="H168" s="121"/>
      <c r="I168" s="121"/>
      <c r="J168" s="121"/>
      <c r="K168" s="121"/>
      <c r="L168" s="121"/>
      <c r="M168" s="121"/>
      <c r="N168" s="201">
        <f>$BK$168</f>
        <v>0</v>
      </c>
      <c r="O168" s="202"/>
      <c r="P168" s="202"/>
      <c r="Q168" s="202"/>
      <c r="R168" s="123"/>
      <c r="T168" s="124"/>
      <c r="U168" s="121"/>
      <c r="V168" s="121"/>
      <c r="W168" s="125">
        <f>$W$169</f>
        <v>47.839968000000006</v>
      </c>
      <c r="X168" s="121"/>
      <c r="Y168" s="125">
        <f>$Y$169</f>
        <v>2.35092368</v>
      </c>
      <c r="Z168" s="121"/>
      <c r="AA168" s="126">
        <f>$AA$169</f>
        <v>0</v>
      </c>
      <c r="AR168" s="127" t="s">
        <v>99</v>
      </c>
      <c r="AT168" s="127" t="s">
        <v>70</v>
      </c>
      <c r="AU168" s="127" t="s">
        <v>78</v>
      </c>
      <c r="AY168" s="127" t="s">
        <v>155</v>
      </c>
      <c r="BK168" s="128">
        <f>$BK$169</f>
        <v>0</v>
      </c>
    </row>
    <row r="169" spans="2:64" s="6" customFormat="1" ht="39" customHeight="1">
      <c r="B169" s="22"/>
      <c r="C169" s="130" t="s">
        <v>7</v>
      </c>
      <c r="D169" s="130" t="s">
        <v>156</v>
      </c>
      <c r="E169" s="131" t="s">
        <v>220</v>
      </c>
      <c r="F169" s="204" t="s">
        <v>221</v>
      </c>
      <c r="G169" s="205"/>
      <c r="H169" s="205"/>
      <c r="I169" s="205"/>
      <c r="J169" s="132" t="s">
        <v>159</v>
      </c>
      <c r="K169" s="133">
        <v>120.808</v>
      </c>
      <c r="L169" s="206">
        <v>0</v>
      </c>
      <c r="M169" s="205"/>
      <c r="N169" s="207">
        <f>ROUND($L$169*$K$169,2)</f>
        <v>0</v>
      </c>
      <c r="O169" s="205"/>
      <c r="P169" s="205"/>
      <c r="Q169" s="205"/>
      <c r="R169" s="24"/>
      <c r="T169" s="134"/>
      <c r="U169" s="30" t="s">
        <v>36</v>
      </c>
      <c r="V169" s="135">
        <v>0.396</v>
      </c>
      <c r="W169" s="135">
        <f>$V$169*$K$169</f>
        <v>47.839968000000006</v>
      </c>
      <c r="X169" s="135">
        <v>0.01946</v>
      </c>
      <c r="Y169" s="135">
        <f>$X$169*$K$169</f>
        <v>2.35092368</v>
      </c>
      <c r="Z169" s="135">
        <v>0</v>
      </c>
      <c r="AA169" s="136">
        <f>$Z$169*$K$169</f>
        <v>0</v>
      </c>
      <c r="AR169" s="6" t="s">
        <v>201</v>
      </c>
      <c r="AT169" s="6" t="s">
        <v>156</v>
      </c>
      <c r="AU169" s="6" t="s">
        <v>99</v>
      </c>
      <c r="AY169" s="6" t="s">
        <v>155</v>
      </c>
      <c r="BE169" s="84">
        <f>IF($U$169="základní",$N$169,0)</f>
        <v>0</v>
      </c>
      <c r="BF169" s="84">
        <f>IF($U$169="snížená",$N$169,0)</f>
        <v>0</v>
      </c>
      <c r="BG169" s="84">
        <f>IF($U$169="zákl. přenesená",$N$169,0)</f>
        <v>0</v>
      </c>
      <c r="BH169" s="84">
        <f>IF($U$169="sníž. přenesená",$N$169,0)</f>
        <v>0</v>
      </c>
      <c r="BI169" s="84">
        <f>IF($U$169="nulová",$N$169,0)</f>
        <v>0</v>
      </c>
      <c r="BJ169" s="6" t="s">
        <v>78</v>
      </c>
      <c r="BK169" s="84">
        <f>ROUND($L$169*$K$169,2)</f>
        <v>0</v>
      </c>
      <c r="BL169" s="6" t="s">
        <v>201</v>
      </c>
    </row>
    <row r="170" spans="2:63" s="119" customFormat="1" ht="30.75" customHeight="1">
      <c r="B170" s="120"/>
      <c r="C170" s="121"/>
      <c r="D170" s="129" t="s">
        <v>120</v>
      </c>
      <c r="E170" s="121"/>
      <c r="F170" s="121"/>
      <c r="G170" s="121"/>
      <c r="H170" s="121"/>
      <c r="I170" s="121"/>
      <c r="J170" s="121"/>
      <c r="K170" s="121"/>
      <c r="L170" s="121"/>
      <c r="M170" s="121"/>
      <c r="N170" s="201">
        <f>$BK$170</f>
        <v>0</v>
      </c>
      <c r="O170" s="202"/>
      <c r="P170" s="202"/>
      <c r="Q170" s="202"/>
      <c r="R170" s="123"/>
      <c r="T170" s="124"/>
      <c r="U170" s="121"/>
      <c r="V170" s="121"/>
      <c r="W170" s="125">
        <f>$W$171+$W$185+$W$188+$W$190</f>
        <v>1361.7640589999999</v>
      </c>
      <c r="X170" s="121"/>
      <c r="Y170" s="125">
        <f>$Y$171+$Y$185+$Y$188+$Y$190</f>
        <v>9.25413585</v>
      </c>
      <c r="Z170" s="121"/>
      <c r="AA170" s="126">
        <f>$AA$171+$AA$185+$AA$188+$AA$190</f>
        <v>3.92387762</v>
      </c>
      <c r="AR170" s="127" t="s">
        <v>99</v>
      </c>
      <c r="AT170" s="127" t="s">
        <v>70</v>
      </c>
      <c r="AU170" s="127" t="s">
        <v>78</v>
      </c>
      <c r="AY170" s="127" t="s">
        <v>155</v>
      </c>
      <c r="BK170" s="128">
        <f>$BK$171+$BK$185+$BK$188+$BK$190</f>
        <v>0</v>
      </c>
    </row>
    <row r="171" spans="2:63" s="119" customFormat="1" ht="15.75" customHeight="1">
      <c r="B171" s="120"/>
      <c r="C171" s="121"/>
      <c r="D171" s="129" t="s">
        <v>121</v>
      </c>
      <c r="E171" s="121"/>
      <c r="F171" s="121"/>
      <c r="G171" s="121"/>
      <c r="H171" s="121"/>
      <c r="I171" s="121"/>
      <c r="J171" s="121"/>
      <c r="K171" s="121"/>
      <c r="L171" s="121"/>
      <c r="M171" s="121"/>
      <c r="N171" s="201">
        <f>$BK$171</f>
        <v>0</v>
      </c>
      <c r="O171" s="202"/>
      <c r="P171" s="202"/>
      <c r="Q171" s="202"/>
      <c r="R171" s="123"/>
      <c r="T171" s="124"/>
      <c r="U171" s="121"/>
      <c r="V171" s="121"/>
      <c r="W171" s="125">
        <f>$W$172+SUM($W$173:$W$178)</f>
        <v>521.07862</v>
      </c>
      <c r="X171" s="121"/>
      <c r="Y171" s="125">
        <f>$Y$172+SUM($Y$173:$Y$178)</f>
        <v>3.4762390000000005</v>
      </c>
      <c r="Z171" s="121"/>
      <c r="AA171" s="126">
        <f>$AA$172+SUM($AA$173:$AA$178)</f>
        <v>3.92387762</v>
      </c>
      <c r="AR171" s="127" t="s">
        <v>99</v>
      </c>
      <c r="AT171" s="127" t="s">
        <v>70</v>
      </c>
      <c r="AU171" s="127" t="s">
        <v>99</v>
      </c>
      <c r="AY171" s="127" t="s">
        <v>155</v>
      </c>
      <c r="BK171" s="128">
        <f>$BK$172+SUM($BK$173:$BK$178)</f>
        <v>0</v>
      </c>
    </row>
    <row r="172" spans="2:64" s="6" customFormat="1" ht="27" customHeight="1">
      <c r="B172" s="22"/>
      <c r="C172" s="130" t="s">
        <v>222</v>
      </c>
      <c r="D172" s="130" t="s">
        <v>156</v>
      </c>
      <c r="E172" s="131" t="s">
        <v>223</v>
      </c>
      <c r="F172" s="204" t="s">
        <v>224</v>
      </c>
      <c r="G172" s="205"/>
      <c r="H172" s="205"/>
      <c r="I172" s="205"/>
      <c r="J172" s="132" t="s">
        <v>186</v>
      </c>
      <c r="K172" s="133">
        <v>190</v>
      </c>
      <c r="L172" s="206">
        <v>0</v>
      </c>
      <c r="M172" s="205"/>
      <c r="N172" s="207">
        <f>ROUND($L$172*$K$172,2)</f>
        <v>0</v>
      </c>
      <c r="O172" s="205"/>
      <c r="P172" s="205"/>
      <c r="Q172" s="205"/>
      <c r="R172" s="24"/>
      <c r="T172" s="134"/>
      <c r="U172" s="30" t="s">
        <v>36</v>
      </c>
      <c r="V172" s="135">
        <v>0.114</v>
      </c>
      <c r="W172" s="135">
        <f>$V$172*$K$172</f>
        <v>21.66</v>
      </c>
      <c r="X172" s="135">
        <v>0</v>
      </c>
      <c r="Y172" s="135">
        <f>$X$172*$K$172</f>
        <v>0</v>
      </c>
      <c r="Z172" s="135">
        <v>0.00515</v>
      </c>
      <c r="AA172" s="136">
        <f>$Z$172*$K$172</f>
        <v>0.9785</v>
      </c>
      <c r="AR172" s="6" t="s">
        <v>201</v>
      </c>
      <c r="AT172" s="6" t="s">
        <v>156</v>
      </c>
      <c r="AU172" s="6" t="s">
        <v>161</v>
      </c>
      <c r="AY172" s="6" t="s">
        <v>155</v>
      </c>
      <c r="BE172" s="84">
        <f>IF($U$172="základní",$N$172,0)</f>
        <v>0</v>
      </c>
      <c r="BF172" s="84">
        <f>IF($U$172="snížená",$N$172,0)</f>
        <v>0</v>
      </c>
      <c r="BG172" s="84">
        <f>IF($U$172="zákl. přenesená",$N$172,0)</f>
        <v>0</v>
      </c>
      <c r="BH172" s="84">
        <f>IF($U$172="sníž. přenesená",$N$172,0)</f>
        <v>0</v>
      </c>
      <c r="BI172" s="84">
        <f>IF($U$172="nulová",$N$172,0)</f>
        <v>0</v>
      </c>
      <c r="BJ172" s="6" t="s">
        <v>78</v>
      </c>
      <c r="BK172" s="84">
        <f>ROUND($L$172*$K$172,2)</f>
        <v>0</v>
      </c>
      <c r="BL172" s="6" t="s">
        <v>201</v>
      </c>
    </row>
    <row r="173" spans="2:64" s="6" customFormat="1" ht="27" customHeight="1">
      <c r="B173" s="22"/>
      <c r="C173" s="130" t="s">
        <v>225</v>
      </c>
      <c r="D173" s="130" t="s">
        <v>156</v>
      </c>
      <c r="E173" s="131" t="s">
        <v>226</v>
      </c>
      <c r="F173" s="204" t="s">
        <v>227</v>
      </c>
      <c r="G173" s="205"/>
      <c r="H173" s="205"/>
      <c r="I173" s="205"/>
      <c r="J173" s="132" t="s">
        <v>186</v>
      </c>
      <c r="K173" s="133">
        <v>190</v>
      </c>
      <c r="L173" s="206">
        <v>0</v>
      </c>
      <c r="M173" s="205"/>
      <c r="N173" s="207">
        <f>ROUND($L$173*$K$173,2)</f>
        <v>0</v>
      </c>
      <c r="O173" s="205"/>
      <c r="P173" s="205"/>
      <c r="Q173" s="205"/>
      <c r="R173" s="24"/>
      <c r="T173" s="134"/>
      <c r="U173" s="30" t="s">
        <v>36</v>
      </c>
      <c r="V173" s="135">
        <v>0.09</v>
      </c>
      <c r="W173" s="135">
        <f>$V$173*$K$173</f>
        <v>17.099999999999998</v>
      </c>
      <c r="X173" s="135">
        <v>0</v>
      </c>
      <c r="Y173" s="135">
        <f>$X$173*$K$173</f>
        <v>0</v>
      </c>
      <c r="Z173" s="135">
        <v>0.00617</v>
      </c>
      <c r="AA173" s="136">
        <f>$Z$173*$K$173</f>
        <v>1.1723000000000001</v>
      </c>
      <c r="AR173" s="6" t="s">
        <v>201</v>
      </c>
      <c r="AT173" s="6" t="s">
        <v>156</v>
      </c>
      <c r="AU173" s="6" t="s">
        <v>161</v>
      </c>
      <c r="AY173" s="6" t="s">
        <v>155</v>
      </c>
      <c r="BE173" s="84">
        <f>IF($U$173="základní",$N$173,0)</f>
        <v>0</v>
      </c>
      <c r="BF173" s="84">
        <f>IF($U$173="snížená",$N$173,0)</f>
        <v>0</v>
      </c>
      <c r="BG173" s="84">
        <f>IF($U$173="zákl. přenesená",$N$173,0)</f>
        <v>0</v>
      </c>
      <c r="BH173" s="84">
        <f>IF($U$173="sníž. přenesená",$N$173,0)</f>
        <v>0</v>
      </c>
      <c r="BI173" s="84">
        <f>IF($U$173="nulová",$N$173,0)</f>
        <v>0</v>
      </c>
      <c r="BJ173" s="6" t="s">
        <v>78</v>
      </c>
      <c r="BK173" s="84">
        <f>ROUND($L$173*$K$173,2)</f>
        <v>0</v>
      </c>
      <c r="BL173" s="6" t="s">
        <v>201</v>
      </c>
    </row>
    <row r="174" spans="2:64" s="6" customFormat="1" ht="27" customHeight="1">
      <c r="B174" s="22"/>
      <c r="C174" s="130" t="s">
        <v>228</v>
      </c>
      <c r="D174" s="130" t="s">
        <v>156</v>
      </c>
      <c r="E174" s="131" t="s">
        <v>229</v>
      </c>
      <c r="F174" s="204" t="s">
        <v>230</v>
      </c>
      <c r="G174" s="205"/>
      <c r="H174" s="205"/>
      <c r="I174" s="205"/>
      <c r="J174" s="132" t="s">
        <v>159</v>
      </c>
      <c r="K174" s="133">
        <v>181.762</v>
      </c>
      <c r="L174" s="206">
        <v>0</v>
      </c>
      <c r="M174" s="205"/>
      <c r="N174" s="207">
        <f>ROUND($L$174*$K$174,2)</f>
        <v>0</v>
      </c>
      <c r="O174" s="205"/>
      <c r="P174" s="205"/>
      <c r="Q174" s="205"/>
      <c r="R174" s="24"/>
      <c r="T174" s="134"/>
      <c r="U174" s="30" t="s">
        <v>36</v>
      </c>
      <c r="V174" s="135">
        <v>0.11</v>
      </c>
      <c r="W174" s="135">
        <f>$V$174*$K$174</f>
        <v>19.99382</v>
      </c>
      <c r="X174" s="135">
        <v>0</v>
      </c>
      <c r="Y174" s="135">
        <f>$X$174*$K$174</f>
        <v>0</v>
      </c>
      <c r="Z174" s="135">
        <v>0.00751</v>
      </c>
      <c r="AA174" s="136">
        <f>$Z$174*$K$174</f>
        <v>1.36503262</v>
      </c>
      <c r="AR174" s="6" t="s">
        <v>201</v>
      </c>
      <c r="AT174" s="6" t="s">
        <v>156</v>
      </c>
      <c r="AU174" s="6" t="s">
        <v>161</v>
      </c>
      <c r="AY174" s="6" t="s">
        <v>155</v>
      </c>
      <c r="BE174" s="84">
        <f>IF($U$174="základní",$N$174,0)</f>
        <v>0</v>
      </c>
      <c r="BF174" s="84">
        <f>IF($U$174="snížená",$N$174,0)</f>
        <v>0</v>
      </c>
      <c r="BG174" s="84">
        <f>IF($U$174="zákl. přenesená",$N$174,0)</f>
        <v>0</v>
      </c>
      <c r="BH174" s="84">
        <f>IF($U$174="sníž. přenesená",$N$174,0)</f>
        <v>0</v>
      </c>
      <c r="BI174" s="84">
        <f>IF($U$174="nulová",$N$174,0)</f>
        <v>0</v>
      </c>
      <c r="BJ174" s="6" t="s">
        <v>78</v>
      </c>
      <c r="BK174" s="84">
        <f>ROUND($L$174*$K$174,2)</f>
        <v>0</v>
      </c>
      <c r="BL174" s="6" t="s">
        <v>201</v>
      </c>
    </row>
    <row r="175" spans="2:64" s="6" customFormat="1" ht="15.75" customHeight="1">
      <c r="B175" s="22"/>
      <c r="C175" s="130" t="s">
        <v>231</v>
      </c>
      <c r="D175" s="130" t="s">
        <v>156</v>
      </c>
      <c r="E175" s="131" t="s">
        <v>232</v>
      </c>
      <c r="F175" s="204" t="s">
        <v>233</v>
      </c>
      <c r="G175" s="205"/>
      <c r="H175" s="205"/>
      <c r="I175" s="205"/>
      <c r="J175" s="132" t="s">
        <v>186</v>
      </c>
      <c r="K175" s="133">
        <v>126.5</v>
      </c>
      <c r="L175" s="206">
        <v>0</v>
      </c>
      <c r="M175" s="205"/>
      <c r="N175" s="207">
        <f>ROUND($L$175*$K$175,2)</f>
        <v>0</v>
      </c>
      <c r="O175" s="205"/>
      <c r="P175" s="205"/>
      <c r="Q175" s="205"/>
      <c r="R175" s="24"/>
      <c r="T175" s="134"/>
      <c r="U175" s="30" t="s">
        <v>36</v>
      </c>
      <c r="V175" s="135">
        <v>0.06</v>
      </c>
      <c r="W175" s="135">
        <f>$V$175*$K$175</f>
        <v>7.59</v>
      </c>
      <c r="X175" s="135">
        <v>0</v>
      </c>
      <c r="Y175" s="135">
        <f>$X$175*$K$175</f>
        <v>0</v>
      </c>
      <c r="Z175" s="135">
        <v>0.00285</v>
      </c>
      <c r="AA175" s="136">
        <f>$Z$175*$K$175</f>
        <v>0.36052500000000004</v>
      </c>
      <c r="AR175" s="6" t="s">
        <v>201</v>
      </c>
      <c r="AT175" s="6" t="s">
        <v>156</v>
      </c>
      <c r="AU175" s="6" t="s">
        <v>161</v>
      </c>
      <c r="AY175" s="6" t="s">
        <v>155</v>
      </c>
      <c r="BE175" s="84">
        <f>IF($U$175="základní",$N$175,0)</f>
        <v>0</v>
      </c>
      <c r="BF175" s="84">
        <f>IF($U$175="snížená",$N$175,0)</f>
        <v>0</v>
      </c>
      <c r="BG175" s="84">
        <f>IF($U$175="zákl. přenesená",$N$175,0)</f>
        <v>0</v>
      </c>
      <c r="BH175" s="84">
        <f>IF($U$175="sníž. přenesená",$N$175,0)</f>
        <v>0</v>
      </c>
      <c r="BI175" s="84">
        <f>IF($U$175="nulová",$N$175,0)</f>
        <v>0</v>
      </c>
      <c r="BJ175" s="6" t="s">
        <v>78</v>
      </c>
      <c r="BK175" s="84">
        <f>ROUND($L$175*$K$175,2)</f>
        <v>0</v>
      </c>
      <c r="BL175" s="6" t="s">
        <v>201</v>
      </c>
    </row>
    <row r="176" spans="2:64" s="6" customFormat="1" ht="15.75" customHeight="1">
      <c r="B176" s="22"/>
      <c r="C176" s="130" t="s">
        <v>234</v>
      </c>
      <c r="D176" s="130" t="s">
        <v>156</v>
      </c>
      <c r="E176" s="131" t="s">
        <v>235</v>
      </c>
      <c r="F176" s="204" t="s">
        <v>236</v>
      </c>
      <c r="G176" s="205"/>
      <c r="H176" s="205"/>
      <c r="I176" s="205"/>
      <c r="J176" s="132" t="s">
        <v>186</v>
      </c>
      <c r="K176" s="133">
        <v>182.9</v>
      </c>
      <c r="L176" s="206">
        <v>0</v>
      </c>
      <c r="M176" s="205"/>
      <c r="N176" s="207">
        <f>ROUND($L$176*$K$176,2)</f>
        <v>0</v>
      </c>
      <c r="O176" s="205"/>
      <c r="P176" s="205"/>
      <c r="Q176" s="205"/>
      <c r="R176" s="24"/>
      <c r="T176" s="134"/>
      <c r="U176" s="30" t="s">
        <v>36</v>
      </c>
      <c r="V176" s="135">
        <v>0.046</v>
      </c>
      <c r="W176" s="135">
        <f>$V$176*$K$176</f>
        <v>8.4134</v>
      </c>
      <c r="X176" s="135">
        <v>0</v>
      </c>
      <c r="Y176" s="135">
        <f>$X$176*$K$176</f>
        <v>0</v>
      </c>
      <c r="Z176" s="135">
        <v>0</v>
      </c>
      <c r="AA176" s="136">
        <f>$Z$176*$K$176</f>
        <v>0</v>
      </c>
      <c r="AR176" s="6" t="s">
        <v>201</v>
      </c>
      <c r="AT176" s="6" t="s">
        <v>156</v>
      </c>
      <c r="AU176" s="6" t="s">
        <v>161</v>
      </c>
      <c r="AY176" s="6" t="s">
        <v>155</v>
      </c>
      <c r="BE176" s="84">
        <f>IF($U$176="základní",$N$176,0)</f>
        <v>0</v>
      </c>
      <c r="BF176" s="84">
        <f>IF($U$176="snížená",$N$176,0)</f>
        <v>0</v>
      </c>
      <c r="BG176" s="84">
        <f>IF($U$176="zákl. přenesená",$N$176,0)</f>
        <v>0</v>
      </c>
      <c r="BH176" s="84">
        <f>IF($U$176="sníž. přenesená",$N$176,0)</f>
        <v>0</v>
      </c>
      <c r="BI176" s="84">
        <f>IF($U$176="nulová",$N$176,0)</f>
        <v>0</v>
      </c>
      <c r="BJ176" s="6" t="s">
        <v>78</v>
      </c>
      <c r="BK176" s="84">
        <f>ROUND($L$176*$K$176,2)</f>
        <v>0</v>
      </c>
      <c r="BL176" s="6" t="s">
        <v>201</v>
      </c>
    </row>
    <row r="177" spans="2:64" s="6" customFormat="1" ht="27" customHeight="1">
      <c r="B177" s="22"/>
      <c r="C177" s="130" t="s">
        <v>237</v>
      </c>
      <c r="D177" s="130" t="s">
        <v>156</v>
      </c>
      <c r="E177" s="131" t="s">
        <v>238</v>
      </c>
      <c r="F177" s="204" t="s">
        <v>239</v>
      </c>
      <c r="G177" s="205"/>
      <c r="H177" s="205"/>
      <c r="I177" s="205"/>
      <c r="J177" s="132" t="s">
        <v>186</v>
      </c>
      <c r="K177" s="133">
        <v>11</v>
      </c>
      <c r="L177" s="206">
        <v>0</v>
      </c>
      <c r="M177" s="205"/>
      <c r="N177" s="207">
        <f>ROUND($L$177*$K$177,2)</f>
        <v>0</v>
      </c>
      <c r="O177" s="205"/>
      <c r="P177" s="205"/>
      <c r="Q177" s="205"/>
      <c r="R177" s="24"/>
      <c r="T177" s="134"/>
      <c r="U177" s="30" t="s">
        <v>36</v>
      </c>
      <c r="V177" s="135">
        <v>0.08</v>
      </c>
      <c r="W177" s="135">
        <f>$V$177*$K$177</f>
        <v>0.88</v>
      </c>
      <c r="X177" s="135">
        <v>0</v>
      </c>
      <c r="Y177" s="135">
        <f>$X$177*$K$177</f>
        <v>0</v>
      </c>
      <c r="Z177" s="135">
        <v>0.00432</v>
      </c>
      <c r="AA177" s="136">
        <f>$Z$177*$K$177</f>
        <v>0.04752</v>
      </c>
      <c r="AR177" s="6" t="s">
        <v>201</v>
      </c>
      <c r="AT177" s="6" t="s">
        <v>156</v>
      </c>
      <c r="AU177" s="6" t="s">
        <v>161</v>
      </c>
      <c r="AY177" s="6" t="s">
        <v>155</v>
      </c>
      <c r="BE177" s="84">
        <f>IF($U$177="základní",$N$177,0)</f>
        <v>0</v>
      </c>
      <c r="BF177" s="84">
        <f>IF($U$177="snížená",$N$177,0)</f>
        <v>0</v>
      </c>
      <c r="BG177" s="84">
        <f>IF($U$177="zákl. přenesená",$N$177,0)</f>
        <v>0</v>
      </c>
      <c r="BH177" s="84">
        <f>IF($U$177="sníž. přenesená",$N$177,0)</f>
        <v>0</v>
      </c>
      <c r="BI177" s="84">
        <f>IF($U$177="nulová",$N$177,0)</f>
        <v>0</v>
      </c>
      <c r="BJ177" s="6" t="s">
        <v>78</v>
      </c>
      <c r="BK177" s="84">
        <f>ROUND($L$177*$K$177,2)</f>
        <v>0</v>
      </c>
      <c r="BL177" s="6" t="s">
        <v>201</v>
      </c>
    </row>
    <row r="178" spans="2:63" s="137" customFormat="1" ht="21.75" customHeight="1">
      <c r="B178" s="138"/>
      <c r="C178" s="139"/>
      <c r="D178" s="139" t="s">
        <v>122</v>
      </c>
      <c r="E178" s="139"/>
      <c r="F178" s="139"/>
      <c r="G178" s="139"/>
      <c r="H178" s="139"/>
      <c r="I178" s="139"/>
      <c r="J178" s="139"/>
      <c r="K178" s="139"/>
      <c r="L178" s="139"/>
      <c r="M178" s="139"/>
      <c r="N178" s="211">
        <f>$BK$178</f>
        <v>0</v>
      </c>
      <c r="O178" s="212"/>
      <c r="P178" s="212"/>
      <c r="Q178" s="212"/>
      <c r="R178" s="140"/>
      <c r="T178" s="141"/>
      <c r="U178" s="139"/>
      <c r="V178" s="139"/>
      <c r="W178" s="142">
        <f>SUM($W$179:$W$184)</f>
        <v>445.44140000000004</v>
      </c>
      <c r="X178" s="139"/>
      <c r="Y178" s="142">
        <f>SUM($Y$179:$Y$184)</f>
        <v>3.4762390000000005</v>
      </c>
      <c r="Z178" s="139"/>
      <c r="AA178" s="143">
        <f>SUM($AA$179:$AA$184)</f>
        <v>0</v>
      </c>
      <c r="AR178" s="144" t="s">
        <v>78</v>
      </c>
      <c r="AT178" s="144" t="s">
        <v>70</v>
      </c>
      <c r="AU178" s="144" t="s">
        <v>161</v>
      </c>
      <c r="AY178" s="144" t="s">
        <v>155</v>
      </c>
      <c r="BK178" s="145">
        <f>SUM($BK$179:$BK$184)</f>
        <v>0</v>
      </c>
    </row>
    <row r="179" spans="2:64" s="6" customFormat="1" ht="15.75" customHeight="1">
      <c r="B179" s="22"/>
      <c r="C179" s="130" t="s">
        <v>240</v>
      </c>
      <c r="D179" s="130" t="s">
        <v>156</v>
      </c>
      <c r="E179" s="131" t="s">
        <v>241</v>
      </c>
      <c r="F179" s="204" t="s">
        <v>242</v>
      </c>
      <c r="G179" s="205"/>
      <c r="H179" s="205"/>
      <c r="I179" s="205"/>
      <c r="J179" s="132" t="s">
        <v>186</v>
      </c>
      <c r="K179" s="133">
        <v>192</v>
      </c>
      <c r="L179" s="206">
        <v>0</v>
      </c>
      <c r="M179" s="205"/>
      <c r="N179" s="207">
        <f>ROUND($L$179*$K$179,2)</f>
        <v>0</v>
      </c>
      <c r="O179" s="205"/>
      <c r="P179" s="205"/>
      <c r="Q179" s="205"/>
      <c r="R179" s="24"/>
      <c r="T179" s="134"/>
      <c r="U179" s="30" t="s">
        <v>36</v>
      </c>
      <c r="V179" s="135">
        <v>0.933</v>
      </c>
      <c r="W179" s="135">
        <f>$V$179*$K$179</f>
        <v>179.13600000000002</v>
      </c>
      <c r="X179" s="135">
        <v>0.00741</v>
      </c>
      <c r="Y179" s="135">
        <f>$X$179*$K$179</f>
        <v>1.42272</v>
      </c>
      <c r="Z179" s="135">
        <v>0</v>
      </c>
      <c r="AA179" s="136">
        <f>$Z$179*$K$179</f>
        <v>0</v>
      </c>
      <c r="AR179" s="6" t="s">
        <v>201</v>
      </c>
      <c r="AT179" s="6" t="s">
        <v>156</v>
      </c>
      <c r="AU179" s="6" t="s">
        <v>160</v>
      </c>
      <c r="AY179" s="6" t="s">
        <v>155</v>
      </c>
      <c r="BE179" s="84">
        <f>IF($U$179="základní",$N$179,0)</f>
        <v>0</v>
      </c>
      <c r="BF179" s="84">
        <f>IF($U$179="snížená",$N$179,0)</f>
        <v>0</v>
      </c>
      <c r="BG179" s="84">
        <f>IF($U$179="zákl. přenesená",$N$179,0)</f>
        <v>0</v>
      </c>
      <c r="BH179" s="84">
        <f>IF($U$179="sníž. přenesená",$N$179,0)</f>
        <v>0</v>
      </c>
      <c r="BI179" s="84">
        <f>IF($U$179="nulová",$N$179,0)</f>
        <v>0</v>
      </c>
      <c r="BJ179" s="6" t="s">
        <v>78</v>
      </c>
      <c r="BK179" s="84">
        <f>ROUND($L$179*$K$179,2)</f>
        <v>0</v>
      </c>
      <c r="BL179" s="6" t="s">
        <v>201</v>
      </c>
    </row>
    <row r="180" spans="2:64" s="6" customFormat="1" ht="15.75" customHeight="1">
      <c r="B180" s="22"/>
      <c r="C180" s="130" t="s">
        <v>243</v>
      </c>
      <c r="D180" s="130" t="s">
        <v>156</v>
      </c>
      <c r="E180" s="131" t="s">
        <v>244</v>
      </c>
      <c r="F180" s="204" t="s">
        <v>245</v>
      </c>
      <c r="G180" s="205"/>
      <c r="H180" s="205"/>
      <c r="I180" s="205"/>
      <c r="J180" s="132" t="s">
        <v>159</v>
      </c>
      <c r="K180" s="133">
        <v>193.8</v>
      </c>
      <c r="L180" s="206">
        <v>0</v>
      </c>
      <c r="M180" s="205"/>
      <c r="N180" s="207">
        <f>ROUND($L$180*$K$180,2)</f>
        <v>0</v>
      </c>
      <c r="O180" s="205"/>
      <c r="P180" s="205"/>
      <c r="Q180" s="205"/>
      <c r="R180" s="24"/>
      <c r="T180" s="134"/>
      <c r="U180" s="30" t="s">
        <v>36</v>
      </c>
      <c r="V180" s="135">
        <v>0.813</v>
      </c>
      <c r="W180" s="135">
        <f>$V$180*$K$180</f>
        <v>157.5594</v>
      </c>
      <c r="X180" s="135">
        <v>0.00868</v>
      </c>
      <c r="Y180" s="135">
        <f>$X$180*$K$180</f>
        <v>1.6821840000000001</v>
      </c>
      <c r="Z180" s="135">
        <v>0</v>
      </c>
      <c r="AA180" s="136">
        <f>$Z$180*$K$180</f>
        <v>0</v>
      </c>
      <c r="AR180" s="6" t="s">
        <v>201</v>
      </c>
      <c r="AT180" s="6" t="s">
        <v>156</v>
      </c>
      <c r="AU180" s="6" t="s">
        <v>160</v>
      </c>
      <c r="AY180" s="6" t="s">
        <v>155</v>
      </c>
      <c r="BE180" s="84">
        <f>IF($U$180="základní",$N$180,0)</f>
        <v>0</v>
      </c>
      <c r="BF180" s="84">
        <f>IF($U$180="snížená",$N$180,0)</f>
        <v>0</v>
      </c>
      <c r="BG180" s="84">
        <f>IF($U$180="zákl. přenesená",$N$180,0)</f>
        <v>0</v>
      </c>
      <c r="BH180" s="84">
        <f>IF($U$180="sníž. přenesená",$N$180,0)</f>
        <v>0</v>
      </c>
      <c r="BI180" s="84">
        <f>IF($U$180="nulová",$N$180,0)</f>
        <v>0</v>
      </c>
      <c r="BJ180" s="6" t="s">
        <v>78</v>
      </c>
      <c r="BK180" s="84">
        <f>ROUND($L$180*$K$180,2)</f>
        <v>0</v>
      </c>
      <c r="BL180" s="6" t="s">
        <v>201</v>
      </c>
    </row>
    <row r="181" spans="2:64" s="6" customFormat="1" ht="15.75" customHeight="1">
      <c r="B181" s="22"/>
      <c r="C181" s="130" t="s">
        <v>246</v>
      </c>
      <c r="D181" s="130" t="s">
        <v>156</v>
      </c>
      <c r="E181" s="131" t="s">
        <v>247</v>
      </c>
      <c r="F181" s="204" t="s">
        <v>248</v>
      </c>
      <c r="G181" s="205"/>
      <c r="H181" s="205"/>
      <c r="I181" s="205"/>
      <c r="J181" s="132" t="s">
        <v>186</v>
      </c>
      <c r="K181" s="133">
        <v>126.5</v>
      </c>
      <c r="L181" s="206">
        <v>0</v>
      </c>
      <c r="M181" s="205"/>
      <c r="N181" s="207">
        <f>ROUND($L$181*$K$181,2)</f>
        <v>0</v>
      </c>
      <c r="O181" s="205"/>
      <c r="P181" s="205"/>
      <c r="Q181" s="205"/>
      <c r="R181" s="24"/>
      <c r="T181" s="134"/>
      <c r="U181" s="30" t="s">
        <v>36</v>
      </c>
      <c r="V181" s="135">
        <v>0.452</v>
      </c>
      <c r="W181" s="135">
        <f>$V$181*$K$181</f>
        <v>57.178000000000004</v>
      </c>
      <c r="X181" s="135">
        <v>0.00283</v>
      </c>
      <c r="Y181" s="135">
        <f>$X$181*$K$181</f>
        <v>0.357995</v>
      </c>
      <c r="Z181" s="135">
        <v>0</v>
      </c>
      <c r="AA181" s="136">
        <f>$Z$181*$K$181</f>
        <v>0</v>
      </c>
      <c r="AR181" s="6" t="s">
        <v>201</v>
      </c>
      <c r="AT181" s="6" t="s">
        <v>156</v>
      </c>
      <c r="AU181" s="6" t="s">
        <v>160</v>
      </c>
      <c r="AY181" s="6" t="s">
        <v>155</v>
      </c>
      <c r="BE181" s="84">
        <f>IF($U$181="základní",$N$181,0)</f>
        <v>0</v>
      </c>
      <c r="BF181" s="84">
        <f>IF($U$181="snížená",$N$181,0)</f>
        <v>0</v>
      </c>
      <c r="BG181" s="84">
        <f>IF($U$181="zákl. přenesená",$N$181,0)</f>
        <v>0</v>
      </c>
      <c r="BH181" s="84">
        <f>IF($U$181="sníž. přenesená",$N$181,0)</f>
        <v>0</v>
      </c>
      <c r="BI181" s="84">
        <f>IF($U$181="nulová",$N$181,0)</f>
        <v>0</v>
      </c>
      <c r="BJ181" s="6" t="s">
        <v>78</v>
      </c>
      <c r="BK181" s="84">
        <f>ROUND($L$181*$K$181,2)</f>
        <v>0</v>
      </c>
      <c r="BL181" s="6" t="s">
        <v>201</v>
      </c>
    </row>
    <row r="182" spans="2:64" s="6" customFormat="1" ht="27" customHeight="1">
      <c r="B182" s="22"/>
      <c r="C182" s="130" t="s">
        <v>249</v>
      </c>
      <c r="D182" s="130" t="s">
        <v>156</v>
      </c>
      <c r="E182" s="131" t="s">
        <v>250</v>
      </c>
      <c r="F182" s="204" t="s">
        <v>251</v>
      </c>
      <c r="G182" s="205"/>
      <c r="H182" s="205"/>
      <c r="I182" s="205"/>
      <c r="J182" s="132" t="s">
        <v>252</v>
      </c>
      <c r="K182" s="133">
        <v>2</v>
      </c>
      <c r="L182" s="206">
        <v>0</v>
      </c>
      <c r="M182" s="205"/>
      <c r="N182" s="207">
        <f>ROUND($L$182*$K$182,2)</f>
        <v>0</v>
      </c>
      <c r="O182" s="205"/>
      <c r="P182" s="205"/>
      <c r="Q182" s="205"/>
      <c r="R182" s="24"/>
      <c r="T182" s="134"/>
      <c r="U182" s="30" t="s">
        <v>36</v>
      </c>
      <c r="V182" s="135">
        <v>0.18</v>
      </c>
      <c r="W182" s="135">
        <f>$V$182*$K$182</f>
        <v>0.36</v>
      </c>
      <c r="X182" s="135">
        <v>0</v>
      </c>
      <c r="Y182" s="135">
        <f>$X$182*$K$182</f>
        <v>0</v>
      </c>
      <c r="Z182" s="135">
        <v>0</v>
      </c>
      <c r="AA182" s="136">
        <f>$Z$182*$K$182</f>
        <v>0</v>
      </c>
      <c r="AR182" s="6" t="s">
        <v>201</v>
      </c>
      <c r="AT182" s="6" t="s">
        <v>156</v>
      </c>
      <c r="AU182" s="6" t="s">
        <v>160</v>
      </c>
      <c r="AY182" s="6" t="s">
        <v>155</v>
      </c>
      <c r="BE182" s="84">
        <f>IF($U$182="základní",$N$182,0)</f>
        <v>0</v>
      </c>
      <c r="BF182" s="84">
        <f>IF($U$182="snížená",$N$182,0)</f>
        <v>0</v>
      </c>
      <c r="BG182" s="84">
        <f>IF($U$182="zákl. přenesená",$N$182,0)</f>
        <v>0</v>
      </c>
      <c r="BH182" s="84">
        <f>IF($U$182="sníž. přenesená",$N$182,0)</f>
        <v>0</v>
      </c>
      <c r="BI182" s="84">
        <f>IF($U$182="nulová",$N$182,0)</f>
        <v>0</v>
      </c>
      <c r="BJ182" s="6" t="s">
        <v>78</v>
      </c>
      <c r="BK182" s="84">
        <f>ROUND($L$182*$K$182,2)</f>
        <v>0</v>
      </c>
      <c r="BL182" s="6" t="s">
        <v>201</v>
      </c>
    </row>
    <row r="183" spans="2:64" s="6" customFormat="1" ht="15.75" customHeight="1">
      <c r="B183" s="22"/>
      <c r="C183" s="130" t="s">
        <v>215</v>
      </c>
      <c r="D183" s="130" t="s">
        <v>156</v>
      </c>
      <c r="E183" s="131" t="s">
        <v>253</v>
      </c>
      <c r="F183" s="204" t="s">
        <v>254</v>
      </c>
      <c r="G183" s="205"/>
      <c r="H183" s="205"/>
      <c r="I183" s="205"/>
      <c r="J183" s="132" t="s">
        <v>186</v>
      </c>
      <c r="K183" s="133">
        <v>2</v>
      </c>
      <c r="L183" s="206">
        <v>0</v>
      </c>
      <c r="M183" s="205"/>
      <c r="N183" s="207">
        <f>ROUND($L$183*$K$183,2)</f>
        <v>0</v>
      </c>
      <c r="O183" s="205"/>
      <c r="P183" s="205"/>
      <c r="Q183" s="205"/>
      <c r="R183" s="24"/>
      <c r="T183" s="134"/>
      <c r="U183" s="30" t="s">
        <v>36</v>
      </c>
      <c r="V183" s="135">
        <v>0.452</v>
      </c>
      <c r="W183" s="135">
        <f>$V$183*$K$183</f>
        <v>0.904</v>
      </c>
      <c r="X183" s="135">
        <v>0.00283</v>
      </c>
      <c r="Y183" s="135">
        <f>$X$183*$K$183</f>
        <v>0.00566</v>
      </c>
      <c r="Z183" s="135">
        <v>0</v>
      </c>
      <c r="AA183" s="136">
        <f>$Z$183*$K$183</f>
        <v>0</v>
      </c>
      <c r="AR183" s="6" t="s">
        <v>201</v>
      </c>
      <c r="AT183" s="6" t="s">
        <v>156</v>
      </c>
      <c r="AU183" s="6" t="s">
        <v>160</v>
      </c>
      <c r="AY183" s="6" t="s">
        <v>155</v>
      </c>
      <c r="BE183" s="84">
        <f>IF($U$183="základní",$N$183,0)</f>
        <v>0</v>
      </c>
      <c r="BF183" s="84">
        <f>IF($U$183="snížená",$N$183,0)</f>
        <v>0</v>
      </c>
      <c r="BG183" s="84">
        <f>IF($U$183="zákl. přenesená",$N$183,0)</f>
        <v>0</v>
      </c>
      <c r="BH183" s="84">
        <f>IF($U$183="sníž. přenesená",$N$183,0)</f>
        <v>0</v>
      </c>
      <c r="BI183" s="84">
        <f>IF($U$183="nulová",$N$183,0)</f>
        <v>0</v>
      </c>
      <c r="BJ183" s="6" t="s">
        <v>78</v>
      </c>
      <c r="BK183" s="84">
        <f>ROUND($L$183*$K$183,2)</f>
        <v>0</v>
      </c>
      <c r="BL183" s="6" t="s">
        <v>201</v>
      </c>
    </row>
    <row r="184" spans="2:64" s="6" customFormat="1" ht="27" customHeight="1">
      <c r="B184" s="22"/>
      <c r="C184" s="130" t="s">
        <v>255</v>
      </c>
      <c r="D184" s="130" t="s">
        <v>156</v>
      </c>
      <c r="E184" s="131" t="s">
        <v>256</v>
      </c>
      <c r="F184" s="204" t="s">
        <v>257</v>
      </c>
      <c r="G184" s="205"/>
      <c r="H184" s="205"/>
      <c r="I184" s="205"/>
      <c r="J184" s="132" t="s">
        <v>252</v>
      </c>
      <c r="K184" s="133">
        <v>384</v>
      </c>
      <c r="L184" s="206">
        <v>0</v>
      </c>
      <c r="M184" s="205"/>
      <c r="N184" s="207">
        <f>ROUND($L$184*$K$184,2)</f>
        <v>0</v>
      </c>
      <c r="O184" s="205"/>
      <c r="P184" s="205"/>
      <c r="Q184" s="205"/>
      <c r="R184" s="24"/>
      <c r="T184" s="134"/>
      <c r="U184" s="30" t="s">
        <v>36</v>
      </c>
      <c r="V184" s="135">
        <v>0.131</v>
      </c>
      <c r="W184" s="135">
        <f>$V$184*$K$184</f>
        <v>50.304</v>
      </c>
      <c r="X184" s="135">
        <v>2E-05</v>
      </c>
      <c r="Y184" s="135">
        <f>$X$184*$K$184</f>
        <v>0.007680000000000001</v>
      </c>
      <c r="Z184" s="135">
        <v>0</v>
      </c>
      <c r="AA184" s="136">
        <f>$Z$184*$K$184</f>
        <v>0</v>
      </c>
      <c r="AR184" s="6" t="s">
        <v>201</v>
      </c>
      <c r="AT184" s="6" t="s">
        <v>156</v>
      </c>
      <c r="AU184" s="6" t="s">
        <v>160</v>
      </c>
      <c r="AY184" s="6" t="s">
        <v>155</v>
      </c>
      <c r="BE184" s="84">
        <f>IF($U$184="základní",$N$184,0)</f>
        <v>0</v>
      </c>
      <c r="BF184" s="84">
        <f>IF($U$184="snížená",$N$184,0)</f>
        <v>0</v>
      </c>
      <c r="BG184" s="84">
        <f>IF($U$184="zákl. přenesená",$N$184,0)</f>
        <v>0</v>
      </c>
      <c r="BH184" s="84">
        <f>IF($U$184="sníž. přenesená",$N$184,0)</f>
        <v>0</v>
      </c>
      <c r="BI184" s="84">
        <f>IF($U$184="nulová",$N$184,0)</f>
        <v>0</v>
      </c>
      <c r="BJ184" s="6" t="s">
        <v>78</v>
      </c>
      <c r="BK184" s="84">
        <f>ROUND($L$184*$K$184,2)</f>
        <v>0</v>
      </c>
      <c r="BL184" s="6" t="s">
        <v>201</v>
      </c>
    </row>
    <row r="185" spans="2:63" s="119" customFormat="1" ht="23.25" customHeight="1">
      <c r="B185" s="120"/>
      <c r="C185" s="121"/>
      <c r="D185" s="129" t="s">
        <v>123</v>
      </c>
      <c r="E185" s="121"/>
      <c r="F185" s="121"/>
      <c r="G185" s="121"/>
      <c r="H185" s="121"/>
      <c r="I185" s="121"/>
      <c r="J185" s="121"/>
      <c r="K185" s="121"/>
      <c r="L185" s="121"/>
      <c r="M185" s="121"/>
      <c r="N185" s="201">
        <f>$BK$185</f>
        <v>0</v>
      </c>
      <c r="O185" s="202"/>
      <c r="P185" s="202"/>
      <c r="Q185" s="202"/>
      <c r="R185" s="123"/>
      <c r="T185" s="124"/>
      <c r="U185" s="121"/>
      <c r="V185" s="121"/>
      <c r="W185" s="125">
        <f>SUM($W$186:$W$187)</f>
        <v>5.984</v>
      </c>
      <c r="X185" s="121"/>
      <c r="Y185" s="125">
        <f>SUM($Y$186:$Y$187)</f>
        <v>0.047959999999999996</v>
      </c>
      <c r="Z185" s="121"/>
      <c r="AA185" s="126">
        <f>SUM($AA$186:$AA$187)</f>
        <v>0</v>
      </c>
      <c r="AR185" s="127" t="s">
        <v>99</v>
      </c>
      <c r="AT185" s="127" t="s">
        <v>70</v>
      </c>
      <c r="AU185" s="127" t="s">
        <v>99</v>
      </c>
      <c r="AY185" s="127" t="s">
        <v>155</v>
      </c>
      <c r="BK185" s="128">
        <f>SUM($BK$186:$BK$187)</f>
        <v>0</v>
      </c>
    </row>
    <row r="186" spans="2:64" s="6" customFormat="1" ht="27" customHeight="1">
      <c r="B186" s="22"/>
      <c r="C186" s="130" t="s">
        <v>258</v>
      </c>
      <c r="D186" s="130" t="s">
        <v>156</v>
      </c>
      <c r="E186" s="131" t="s">
        <v>259</v>
      </c>
      <c r="F186" s="204" t="s">
        <v>260</v>
      </c>
      <c r="G186" s="205"/>
      <c r="H186" s="205"/>
      <c r="I186" s="205"/>
      <c r="J186" s="132" t="s">
        <v>186</v>
      </c>
      <c r="K186" s="133">
        <v>11</v>
      </c>
      <c r="L186" s="206">
        <v>0</v>
      </c>
      <c r="M186" s="205"/>
      <c r="N186" s="207">
        <f>ROUND($L$186*$K$186,2)</f>
        <v>0</v>
      </c>
      <c r="O186" s="205"/>
      <c r="P186" s="205"/>
      <c r="Q186" s="205"/>
      <c r="R186" s="24"/>
      <c r="T186" s="134"/>
      <c r="U186" s="30" t="s">
        <v>36</v>
      </c>
      <c r="V186" s="135">
        <v>0.544</v>
      </c>
      <c r="W186" s="135">
        <f>$V$186*$K$186</f>
        <v>5.984</v>
      </c>
      <c r="X186" s="135">
        <v>0.00416</v>
      </c>
      <c r="Y186" s="135">
        <f>$X$186*$K$186</f>
        <v>0.045759999999999995</v>
      </c>
      <c r="Z186" s="135">
        <v>0</v>
      </c>
      <c r="AA186" s="136">
        <f>$Z$186*$K$186</f>
        <v>0</v>
      </c>
      <c r="AR186" s="6" t="s">
        <v>201</v>
      </c>
      <c r="AT186" s="6" t="s">
        <v>156</v>
      </c>
      <c r="AU186" s="6" t="s">
        <v>161</v>
      </c>
      <c r="AY186" s="6" t="s">
        <v>155</v>
      </c>
      <c r="BE186" s="84">
        <f>IF($U$186="základní",$N$186,0)</f>
        <v>0</v>
      </c>
      <c r="BF186" s="84">
        <f>IF($U$186="snížená",$N$186,0)</f>
        <v>0</v>
      </c>
      <c r="BG186" s="84">
        <f>IF($U$186="zákl. přenesená",$N$186,0)</f>
        <v>0</v>
      </c>
      <c r="BH186" s="84">
        <f>IF($U$186="sníž. přenesená",$N$186,0)</f>
        <v>0</v>
      </c>
      <c r="BI186" s="84">
        <f>IF($U$186="nulová",$N$186,0)</f>
        <v>0</v>
      </c>
      <c r="BJ186" s="6" t="s">
        <v>78</v>
      </c>
      <c r="BK186" s="84">
        <f>ROUND($L$186*$K$186,2)</f>
        <v>0</v>
      </c>
      <c r="BL186" s="6" t="s">
        <v>201</v>
      </c>
    </row>
    <row r="187" spans="2:64" s="6" customFormat="1" ht="27" customHeight="1">
      <c r="B187" s="22"/>
      <c r="C187" s="146" t="s">
        <v>261</v>
      </c>
      <c r="D187" s="146" t="s">
        <v>212</v>
      </c>
      <c r="E187" s="147" t="s">
        <v>262</v>
      </c>
      <c r="F187" s="213" t="s">
        <v>263</v>
      </c>
      <c r="G187" s="214"/>
      <c r="H187" s="214"/>
      <c r="I187" s="214"/>
      <c r="J187" s="148" t="s">
        <v>252</v>
      </c>
      <c r="K187" s="149">
        <v>11</v>
      </c>
      <c r="L187" s="215">
        <v>0</v>
      </c>
      <c r="M187" s="214"/>
      <c r="N187" s="216">
        <f>ROUND($L$187*$K$187,2)</f>
        <v>0</v>
      </c>
      <c r="O187" s="205"/>
      <c r="P187" s="205"/>
      <c r="Q187" s="205"/>
      <c r="R187" s="24"/>
      <c r="T187" s="134"/>
      <c r="U187" s="30" t="s">
        <v>36</v>
      </c>
      <c r="V187" s="135">
        <v>0</v>
      </c>
      <c r="W187" s="135">
        <f>$V$187*$K$187</f>
        <v>0</v>
      </c>
      <c r="X187" s="135">
        <v>0.0002</v>
      </c>
      <c r="Y187" s="135">
        <f>$X$187*$K$187</f>
        <v>0.0022</v>
      </c>
      <c r="Z187" s="135">
        <v>0</v>
      </c>
      <c r="AA187" s="136">
        <f>$Z$187*$K$187</f>
        <v>0</v>
      </c>
      <c r="AR187" s="6" t="s">
        <v>215</v>
      </c>
      <c r="AT187" s="6" t="s">
        <v>212</v>
      </c>
      <c r="AU187" s="6" t="s">
        <v>161</v>
      </c>
      <c r="AY187" s="6" t="s">
        <v>155</v>
      </c>
      <c r="BE187" s="84">
        <f>IF($U$187="základní",$N$187,0)</f>
        <v>0</v>
      </c>
      <c r="BF187" s="84">
        <f>IF($U$187="snížená",$N$187,0)</f>
        <v>0</v>
      </c>
      <c r="BG187" s="84">
        <f>IF($U$187="zákl. přenesená",$N$187,0)</f>
        <v>0</v>
      </c>
      <c r="BH187" s="84">
        <f>IF($U$187="sníž. přenesená",$N$187,0)</f>
        <v>0</v>
      </c>
      <c r="BI187" s="84">
        <f>IF($U$187="nulová",$N$187,0)</f>
        <v>0</v>
      </c>
      <c r="BJ187" s="6" t="s">
        <v>78</v>
      </c>
      <c r="BK187" s="84">
        <f>ROUND($L$187*$K$187,2)</f>
        <v>0</v>
      </c>
      <c r="BL187" s="6" t="s">
        <v>201</v>
      </c>
    </row>
    <row r="188" spans="2:63" s="119" customFormat="1" ht="23.25" customHeight="1">
      <c r="B188" s="120"/>
      <c r="C188" s="121"/>
      <c r="D188" s="129" t="s">
        <v>124</v>
      </c>
      <c r="E188" s="121"/>
      <c r="F188" s="121"/>
      <c r="G188" s="121"/>
      <c r="H188" s="121"/>
      <c r="I188" s="121"/>
      <c r="J188" s="121"/>
      <c r="K188" s="121"/>
      <c r="L188" s="121"/>
      <c r="M188" s="121"/>
      <c r="N188" s="201">
        <f>$BK$188</f>
        <v>0</v>
      </c>
      <c r="O188" s="202"/>
      <c r="P188" s="202"/>
      <c r="Q188" s="202"/>
      <c r="R188" s="123"/>
      <c r="T188" s="124"/>
      <c r="U188" s="121"/>
      <c r="V188" s="121"/>
      <c r="W188" s="125">
        <f>$W$189</f>
        <v>834.7014389999998</v>
      </c>
      <c r="X188" s="121"/>
      <c r="Y188" s="125">
        <f>$Y$189</f>
        <v>5.72993685</v>
      </c>
      <c r="Z188" s="121"/>
      <c r="AA188" s="126">
        <f>$AA$189</f>
        <v>0</v>
      </c>
      <c r="AR188" s="127" t="s">
        <v>99</v>
      </c>
      <c r="AT188" s="127" t="s">
        <v>70</v>
      </c>
      <c r="AU188" s="127" t="s">
        <v>99</v>
      </c>
      <c r="AY188" s="127" t="s">
        <v>155</v>
      </c>
      <c r="BK188" s="128">
        <f>$BK$189</f>
        <v>0</v>
      </c>
    </row>
    <row r="189" spans="2:64" s="6" customFormat="1" ht="39" customHeight="1">
      <c r="B189" s="22"/>
      <c r="C189" s="130" t="s">
        <v>264</v>
      </c>
      <c r="D189" s="130" t="s">
        <v>156</v>
      </c>
      <c r="E189" s="131" t="s">
        <v>265</v>
      </c>
      <c r="F189" s="204" t="s">
        <v>266</v>
      </c>
      <c r="G189" s="205"/>
      <c r="H189" s="205"/>
      <c r="I189" s="205"/>
      <c r="J189" s="132" t="s">
        <v>159</v>
      </c>
      <c r="K189" s="133">
        <v>812.757</v>
      </c>
      <c r="L189" s="206">
        <v>0</v>
      </c>
      <c r="M189" s="205"/>
      <c r="N189" s="207">
        <f>ROUND($L$189*$K$189,2)</f>
        <v>0</v>
      </c>
      <c r="O189" s="205"/>
      <c r="P189" s="205"/>
      <c r="Q189" s="205"/>
      <c r="R189" s="24"/>
      <c r="T189" s="134"/>
      <c r="U189" s="30" t="s">
        <v>36</v>
      </c>
      <c r="V189" s="135">
        <v>1.027</v>
      </c>
      <c r="W189" s="135">
        <f>$V$189*$K$189</f>
        <v>834.7014389999998</v>
      </c>
      <c r="X189" s="135">
        <v>0.00705</v>
      </c>
      <c r="Y189" s="135">
        <f>$X$189*$K$189</f>
        <v>5.72993685</v>
      </c>
      <c r="Z189" s="135">
        <v>0</v>
      </c>
      <c r="AA189" s="136">
        <f>$Z$189*$K$189</f>
        <v>0</v>
      </c>
      <c r="AR189" s="6" t="s">
        <v>201</v>
      </c>
      <c r="AT189" s="6" t="s">
        <v>156</v>
      </c>
      <c r="AU189" s="6" t="s">
        <v>161</v>
      </c>
      <c r="AY189" s="6" t="s">
        <v>155</v>
      </c>
      <c r="BE189" s="84">
        <f>IF($U$189="základní",$N$189,0)</f>
        <v>0</v>
      </c>
      <c r="BF189" s="84">
        <f>IF($U$189="snížená",$N$189,0)</f>
        <v>0</v>
      </c>
      <c r="BG189" s="84">
        <f>IF($U$189="zákl. přenesená",$N$189,0)</f>
        <v>0</v>
      </c>
      <c r="BH189" s="84">
        <f>IF($U$189="sníž. přenesená",$N$189,0)</f>
        <v>0</v>
      </c>
      <c r="BI189" s="84">
        <f>IF($U$189="nulová",$N$189,0)</f>
        <v>0</v>
      </c>
      <c r="BJ189" s="6" t="s">
        <v>78</v>
      </c>
      <c r="BK189" s="84">
        <f>ROUND($L$189*$K$189,2)</f>
        <v>0</v>
      </c>
      <c r="BL189" s="6" t="s">
        <v>201</v>
      </c>
    </row>
    <row r="190" spans="2:63" s="119" customFormat="1" ht="23.25" customHeight="1">
      <c r="B190" s="120"/>
      <c r="C190" s="121"/>
      <c r="D190" s="129" t="s">
        <v>125</v>
      </c>
      <c r="E190" s="121"/>
      <c r="F190" s="121"/>
      <c r="G190" s="121"/>
      <c r="H190" s="121"/>
      <c r="I190" s="121"/>
      <c r="J190" s="121"/>
      <c r="K190" s="121"/>
      <c r="L190" s="121"/>
      <c r="M190" s="121"/>
      <c r="N190" s="201">
        <f>$BK$190</f>
        <v>0</v>
      </c>
      <c r="O190" s="202"/>
      <c r="P190" s="202"/>
      <c r="Q190" s="202"/>
      <c r="R190" s="123"/>
      <c r="T190" s="124"/>
      <c r="U190" s="121"/>
      <c r="V190" s="121"/>
      <c r="W190" s="125">
        <f>$W$191</f>
        <v>0</v>
      </c>
      <c r="X190" s="121"/>
      <c r="Y190" s="125">
        <f>$Y$191</f>
        <v>0</v>
      </c>
      <c r="Z190" s="121"/>
      <c r="AA190" s="126">
        <f>$AA$191</f>
        <v>0</v>
      </c>
      <c r="AR190" s="127" t="s">
        <v>99</v>
      </c>
      <c r="AT190" s="127" t="s">
        <v>70</v>
      </c>
      <c r="AU190" s="127" t="s">
        <v>99</v>
      </c>
      <c r="AY190" s="127" t="s">
        <v>155</v>
      </c>
      <c r="BK190" s="128">
        <f>$BK$191</f>
        <v>0</v>
      </c>
    </row>
    <row r="191" spans="2:64" s="6" customFormat="1" ht="27" customHeight="1">
      <c r="B191" s="22"/>
      <c r="C191" s="130" t="s">
        <v>267</v>
      </c>
      <c r="D191" s="130" t="s">
        <v>156</v>
      </c>
      <c r="E191" s="131" t="s">
        <v>268</v>
      </c>
      <c r="F191" s="204" t="s">
        <v>269</v>
      </c>
      <c r="G191" s="205"/>
      <c r="H191" s="205"/>
      <c r="I191" s="205"/>
      <c r="J191" s="132" t="s">
        <v>219</v>
      </c>
      <c r="K191" s="133">
        <v>0</v>
      </c>
      <c r="L191" s="206">
        <v>0</v>
      </c>
      <c r="M191" s="205"/>
      <c r="N191" s="207">
        <f>ROUND($L$191*$K$191,2)</f>
        <v>0</v>
      </c>
      <c r="O191" s="205"/>
      <c r="P191" s="205"/>
      <c r="Q191" s="205"/>
      <c r="R191" s="24"/>
      <c r="T191" s="134"/>
      <c r="U191" s="30" t="s">
        <v>36</v>
      </c>
      <c r="V191" s="135">
        <v>0</v>
      </c>
      <c r="W191" s="135">
        <f>$V$191*$K$191</f>
        <v>0</v>
      </c>
      <c r="X191" s="135">
        <v>0</v>
      </c>
      <c r="Y191" s="135">
        <f>$X$191*$K$191</f>
        <v>0</v>
      </c>
      <c r="Z191" s="135">
        <v>0</v>
      </c>
      <c r="AA191" s="136">
        <f>$Z$191*$K$191</f>
        <v>0</v>
      </c>
      <c r="AR191" s="6" t="s">
        <v>201</v>
      </c>
      <c r="AT191" s="6" t="s">
        <v>156</v>
      </c>
      <c r="AU191" s="6" t="s">
        <v>161</v>
      </c>
      <c r="AY191" s="6" t="s">
        <v>155</v>
      </c>
      <c r="BE191" s="84">
        <f>IF($U$191="základní",$N$191,0)</f>
        <v>0</v>
      </c>
      <c r="BF191" s="84">
        <f>IF($U$191="snížená",$N$191,0)</f>
        <v>0</v>
      </c>
      <c r="BG191" s="84">
        <f>IF($U$191="zákl. přenesená",$N$191,0)</f>
        <v>0</v>
      </c>
      <c r="BH191" s="84">
        <f>IF($U$191="sníž. přenesená",$N$191,0)</f>
        <v>0</v>
      </c>
      <c r="BI191" s="84">
        <f>IF($U$191="nulová",$N$191,0)</f>
        <v>0</v>
      </c>
      <c r="BJ191" s="6" t="s">
        <v>78</v>
      </c>
      <c r="BK191" s="84">
        <f>ROUND($L$191*$K$191,2)</f>
        <v>0</v>
      </c>
      <c r="BL191" s="6" t="s">
        <v>201</v>
      </c>
    </row>
    <row r="192" spans="2:63" s="119" customFormat="1" ht="37.5" customHeight="1">
      <c r="B192" s="120"/>
      <c r="C192" s="121"/>
      <c r="D192" s="122" t="s">
        <v>126</v>
      </c>
      <c r="E192" s="121"/>
      <c r="F192" s="121"/>
      <c r="G192" s="121"/>
      <c r="H192" s="121"/>
      <c r="I192" s="121"/>
      <c r="J192" s="121"/>
      <c r="K192" s="121"/>
      <c r="L192" s="121"/>
      <c r="M192" s="121"/>
      <c r="N192" s="203">
        <f>$BK$192</f>
        <v>0</v>
      </c>
      <c r="O192" s="202"/>
      <c r="P192" s="202"/>
      <c r="Q192" s="202"/>
      <c r="R192" s="123"/>
      <c r="T192" s="124"/>
      <c r="U192" s="121"/>
      <c r="V192" s="121"/>
      <c r="W192" s="125">
        <f>$W$193+$W$195+$W$200</f>
        <v>490.91472100000004</v>
      </c>
      <c r="X192" s="121"/>
      <c r="Y192" s="125">
        <f>$Y$193+$Y$195+$Y$200</f>
        <v>1.47602481</v>
      </c>
      <c r="Z192" s="121"/>
      <c r="AA192" s="126">
        <f>$AA$193+$AA$195+$AA$200</f>
        <v>0.16313</v>
      </c>
      <c r="AR192" s="127" t="s">
        <v>160</v>
      </c>
      <c r="AT192" s="127" t="s">
        <v>70</v>
      </c>
      <c r="AU192" s="127" t="s">
        <v>71</v>
      </c>
      <c r="AY192" s="127" t="s">
        <v>155</v>
      </c>
      <c r="BK192" s="128">
        <f>$BK$193+$BK$195+$BK$200</f>
        <v>0</v>
      </c>
    </row>
    <row r="193" spans="2:63" s="119" customFormat="1" ht="21" customHeight="1">
      <c r="B193" s="120"/>
      <c r="C193" s="121"/>
      <c r="D193" s="129" t="s">
        <v>127</v>
      </c>
      <c r="E193" s="121"/>
      <c r="F193" s="121"/>
      <c r="G193" s="121"/>
      <c r="H193" s="121"/>
      <c r="I193" s="121"/>
      <c r="J193" s="121"/>
      <c r="K193" s="121"/>
      <c r="L193" s="121"/>
      <c r="M193" s="121"/>
      <c r="N193" s="201">
        <f>$BK$193</f>
        <v>0</v>
      </c>
      <c r="O193" s="202"/>
      <c r="P193" s="202"/>
      <c r="Q193" s="202"/>
      <c r="R193" s="123"/>
      <c r="T193" s="124"/>
      <c r="U193" s="121"/>
      <c r="V193" s="121"/>
      <c r="W193" s="125">
        <f>$W$194</f>
        <v>0.497</v>
      </c>
      <c r="X193" s="121"/>
      <c r="Y193" s="125">
        <f>$Y$194</f>
        <v>0</v>
      </c>
      <c r="Z193" s="121"/>
      <c r="AA193" s="126">
        <f>$AA$194</f>
        <v>0</v>
      </c>
      <c r="AR193" s="127" t="s">
        <v>160</v>
      </c>
      <c r="AT193" s="127" t="s">
        <v>70</v>
      </c>
      <c r="AU193" s="127" t="s">
        <v>78</v>
      </c>
      <c r="AY193" s="127" t="s">
        <v>155</v>
      </c>
      <c r="BK193" s="128">
        <f>$BK$194</f>
        <v>0</v>
      </c>
    </row>
    <row r="194" spans="2:64" s="6" customFormat="1" ht="27" customHeight="1">
      <c r="B194" s="22"/>
      <c r="C194" s="130" t="s">
        <v>270</v>
      </c>
      <c r="D194" s="130" t="s">
        <v>156</v>
      </c>
      <c r="E194" s="131" t="s">
        <v>271</v>
      </c>
      <c r="F194" s="204" t="s">
        <v>272</v>
      </c>
      <c r="G194" s="205"/>
      <c r="H194" s="205"/>
      <c r="I194" s="205"/>
      <c r="J194" s="132" t="s">
        <v>273</v>
      </c>
      <c r="K194" s="133">
        <v>1</v>
      </c>
      <c r="L194" s="206">
        <v>0</v>
      </c>
      <c r="M194" s="205"/>
      <c r="N194" s="207">
        <f>ROUND($L$194*$K$194,2)</f>
        <v>0</v>
      </c>
      <c r="O194" s="205"/>
      <c r="P194" s="205"/>
      <c r="Q194" s="205"/>
      <c r="R194" s="24"/>
      <c r="T194" s="134"/>
      <c r="U194" s="30" t="s">
        <v>36</v>
      </c>
      <c r="V194" s="135">
        <v>0.497</v>
      </c>
      <c r="W194" s="135">
        <f>$V$194*$K$194</f>
        <v>0.497</v>
      </c>
      <c r="X194" s="135">
        <v>0</v>
      </c>
      <c r="Y194" s="135">
        <f>$X$194*$K$194</f>
        <v>0</v>
      </c>
      <c r="Z194" s="135">
        <v>0</v>
      </c>
      <c r="AA194" s="136">
        <f>$Z$194*$K$194</f>
        <v>0</v>
      </c>
      <c r="AR194" s="6" t="s">
        <v>201</v>
      </c>
      <c r="AT194" s="6" t="s">
        <v>156</v>
      </c>
      <c r="AU194" s="6" t="s">
        <v>99</v>
      </c>
      <c r="AY194" s="6" t="s">
        <v>155</v>
      </c>
      <c r="BE194" s="84">
        <f>IF($U$194="základní",$N$194,0)</f>
        <v>0</v>
      </c>
      <c r="BF194" s="84">
        <f>IF($U$194="snížená",$N$194,0)</f>
        <v>0</v>
      </c>
      <c r="BG194" s="84">
        <f>IF($U$194="zákl. přenesená",$N$194,0)</f>
        <v>0</v>
      </c>
      <c r="BH194" s="84">
        <f>IF($U$194="sníž. přenesená",$N$194,0)</f>
        <v>0</v>
      </c>
      <c r="BI194" s="84">
        <f>IF($U$194="nulová",$N$194,0)</f>
        <v>0</v>
      </c>
      <c r="BJ194" s="6" t="s">
        <v>78</v>
      </c>
      <c r="BK194" s="84">
        <f>ROUND($L$194*$K$194,2)</f>
        <v>0</v>
      </c>
      <c r="BL194" s="6" t="s">
        <v>201</v>
      </c>
    </row>
    <row r="195" spans="2:63" s="119" customFormat="1" ht="30.75" customHeight="1">
      <c r="B195" s="120"/>
      <c r="C195" s="121"/>
      <c r="D195" s="129" t="s">
        <v>128</v>
      </c>
      <c r="E195" s="121"/>
      <c r="F195" s="121"/>
      <c r="G195" s="121"/>
      <c r="H195" s="121"/>
      <c r="I195" s="121"/>
      <c r="J195" s="121"/>
      <c r="K195" s="121"/>
      <c r="L195" s="121"/>
      <c r="M195" s="121"/>
      <c r="N195" s="201">
        <f>$BK$195</f>
        <v>0</v>
      </c>
      <c r="O195" s="202"/>
      <c r="P195" s="202"/>
      <c r="Q195" s="202"/>
      <c r="R195" s="123"/>
      <c r="T195" s="124"/>
      <c r="U195" s="121"/>
      <c r="V195" s="121"/>
      <c r="W195" s="125">
        <f>SUM($W$196:$W$199)</f>
        <v>33.368500000000004</v>
      </c>
      <c r="X195" s="121"/>
      <c r="Y195" s="125">
        <f>SUM($Y$196:$Y$199)</f>
        <v>0.251185</v>
      </c>
      <c r="Z195" s="121"/>
      <c r="AA195" s="126">
        <f>SUM($AA$196:$AA$199)</f>
        <v>0.16313</v>
      </c>
      <c r="AR195" s="127" t="s">
        <v>160</v>
      </c>
      <c r="AT195" s="127" t="s">
        <v>70</v>
      </c>
      <c r="AU195" s="127" t="s">
        <v>78</v>
      </c>
      <c r="AY195" s="127" t="s">
        <v>155</v>
      </c>
      <c r="BK195" s="128">
        <f>SUM($BK$196:$BK$199)</f>
        <v>0</v>
      </c>
    </row>
    <row r="196" spans="2:64" s="6" customFormat="1" ht="27" customHeight="1">
      <c r="B196" s="22"/>
      <c r="C196" s="130" t="s">
        <v>274</v>
      </c>
      <c r="D196" s="130" t="s">
        <v>156</v>
      </c>
      <c r="E196" s="131" t="s">
        <v>275</v>
      </c>
      <c r="F196" s="204" t="s">
        <v>276</v>
      </c>
      <c r="G196" s="205"/>
      <c r="H196" s="205"/>
      <c r="I196" s="205"/>
      <c r="J196" s="132" t="s">
        <v>186</v>
      </c>
      <c r="K196" s="133">
        <v>49.5</v>
      </c>
      <c r="L196" s="206">
        <v>0</v>
      </c>
      <c r="M196" s="205"/>
      <c r="N196" s="207">
        <f>ROUND($L$196*$K$196,2)</f>
        <v>0</v>
      </c>
      <c r="O196" s="205"/>
      <c r="P196" s="205"/>
      <c r="Q196" s="205"/>
      <c r="R196" s="24"/>
      <c r="T196" s="134"/>
      <c r="U196" s="30" t="s">
        <v>36</v>
      </c>
      <c r="V196" s="135">
        <v>0.09</v>
      </c>
      <c r="W196" s="135">
        <f>$V$196*$K$196</f>
        <v>4.455</v>
      </c>
      <c r="X196" s="135">
        <v>0</v>
      </c>
      <c r="Y196" s="135">
        <f>$X$196*$K$196</f>
        <v>0</v>
      </c>
      <c r="Z196" s="135">
        <v>0.0023</v>
      </c>
      <c r="AA196" s="136">
        <f>$Z$196*$K$196</f>
        <v>0.11384999999999999</v>
      </c>
      <c r="AR196" s="6" t="s">
        <v>201</v>
      </c>
      <c r="AT196" s="6" t="s">
        <v>156</v>
      </c>
      <c r="AU196" s="6" t="s">
        <v>99</v>
      </c>
      <c r="AY196" s="6" t="s">
        <v>155</v>
      </c>
      <c r="BE196" s="84">
        <f>IF($U$196="základní",$N$196,0)</f>
        <v>0</v>
      </c>
      <c r="BF196" s="84">
        <f>IF($U$196="snížená",$N$196,0)</f>
        <v>0</v>
      </c>
      <c r="BG196" s="84">
        <f>IF($U$196="zákl. přenesená",$N$196,0)</f>
        <v>0</v>
      </c>
      <c r="BH196" s="84">
        <f>IF($U$196="sníž. přenesená",$N$196,0)</f>
        <v>0</v>
      </c>
      <c r="BI196" s="84">
        <f>IF($U$196="nulová",$N$196,0)</f>
        <v>0</v>
      </c>
      <c r="BJ196" s="6" t="s">
        <v>78</v>
      </c>
      <c r="BK196" s="84">
        <f>ROUND($L$196*$K$196,2)</f>
        <v>0</v>
      </c>
      <c r="BL196" s="6" t="s">
        <v>201</v>
      </c>
    </row>
    <row r="197" spans="2:64" s="6" customFormat="1" ht="15.75" customHeight="1">
      <c r="B197" s="22"/>
      <c r="C197" s="130" t="s">
        <v>277</v>
      </c>
      <c r="D197" s="130" t="s">
        <v>156</v>
      </c>
      <c r="E197" s="131" t="s">
        <v>278</v>
      </c>
      <c r="F197" s="204" t="s">
        <v>279</v>
      </c>
      <c r="G197" s="205"/>
      <c r="H197" s="205"/>
      <c r="I197" s="205"/>
      <c r="J197" s="132" t="s">
        <v>186</v>
      </c>
      <c r="K197" s="133">
        <v>49.5</v>
      </c>
      <c r="L197" s="206">
        <v>0</v>
      </c>
      <c r="M197" s="205"/>
      <c r="N197" s="207">
        <f>ROUND($L$197*$K$197,2)</f>
        <v>0</v>
      </c>
      <c r="O197" s="205"/>
      <c r="P197" s="205"/>
      <c r="Q197" s="205"/>
      <c r="R197" s="24"/>
      <c r="T197" s="134"/>
      <c r="U197" s="30" t="s">
        <v>36</v>
      </c>
      <c r="V197" s="135">
        <v>0.249</v>
      </c>
      <c r="W197" s="135">
        <f>$V$197*$K$197</f>
        <v>12.3255</v>
      </c>
      <c r="X197" s="135">
        <v>0.00283</v>
      </c>
      <c r="Y197" s="135">
        <f>$X$197*$K$197</f>
        <v>0.14008500000000002</v>
      </c>
      <c r="Z197" s="135">
        <v>0</v>
      </c>
      <c r="AA197" s="136">
        <f>$Z$197*$K$197</f>
        <v>0</v>
      </c>
      <c r="AR197" s="6" t="s">
        <v>201</v>
      </c>
      <c r="AT197" s="6" t="s">
        <v>156</v>
      </c>
      <c r="AU197" s="6" t="s">
        <v>99</v>
      </c>
      <c r="AY197" s="6" t="s">
        <v>155</v>
      </c>
      <c r="BE197" s="84">
        <f>IF($U$197="základní",$N$197,0)</f>
        <v>0</v>
      </c>
      <c r="BF197" s="84">
        <f>IF($U$197="snížená",$N$197,0)</f>
        <v>0</v>
      </c>
      <c r="BG197" s="84">
        <f>IF($U$197="zákl. přenesená",$N$197,0)</f>
        <v>0</v>
      </c>
      <c r="BH197" s="84">
        <f>IF($U$197="sníž. přenesená",$N$197,0)</f>
        <v>0</v>
      </c>
      <c r="BI197" s="84">
        <f>IF($U$197="nulová",$N$197,0)</f>
        <v>0</v>
      </c>
      <c r="BJ197" s="6" t="s">
        <v>78</v>
      </c>
      <c r="BK197" s="84">
        <f>ROUND($L$197*$K$197,2)</f>
        <v>0</v>
      </c>
      <c r="BL197" s="6" t="s">
        <v>201</v>
      </c>
    </row>
    <row r="198" spans="2:64" s="6" customFormat="1" ht="15.75" customHeight="1">
      <c r="B198" s="22"/>
      <c r="C198" s="130" t="s">
        <v>280</v>
      </c>
      <c r="D198" s="130" t="s">
        <v>156</v>
      </c>
      <c r="E198" s="131" t="s">
        <v>281</v>
      </c>
      <c r="F198" s="204" t="s">
        <v>282</v>
      </c>
      <c r="G198" s="205"/>
      <c r="H198" s="205"/>
      <c r="I198" s="205"/>
      <c r="J198" s="132" t="s">
        <v>252</v>
      </c>
      <c r="K198" s="133">
        <v>22</v>
      </c>
      <c r="L198" s="206">
        <v>0</v>
      </c>
      <c r="M198" s="205"/>
      <c r="N198" s="207">
        <f>ROUND($L$198*$K$198,2)</f>
        <v>0</v>
      </c>
      <c r="O198" s="205"/>
      <c r="P198" s="205"/>
      <c r="Q198" s="205"/>
      <c r="R198" s="24"/>
      <c r="T198" s="134"/>
      <c r="U198" s="30" t="s">
        <v>36</v>
      </c>
      <c r="V198" s="135">
        <v>0.08</v>
      </c>
      <c r="W198" s="135">
        <f>$V$198*$K$198</f>
        <v>1.76</v>
      </c>
      <c r="X198" s="135">
        <v>0</v>
      </c>
      <c r="Y198" s="135">
        <f>$X$198*$K$198</f>
        <v>0</v>
      </c>
      <c r="Z198" s="135">
        <v>0.00224</v>
      </c>
      <c r="AA198" s="136">
        <f>$Z$198*$K$198</f>
        <v>0.04928</v>
      </c>
      <c r="AR198" s="6" t="s">
        <v>201</v>
      </c>
      <c r="AT198" s="6" t="s">
        <v>156</v>
      </c>
      <c r="AU198" s="6" t="s">
        <v>99</v>
      </c>
      <c r="AY198" s="6" t="s">
        <v>155</v>
      </c>
      <c r="BE198" s="84">
        <f>IF($U$198="základní",$N$198,0)</f>
        <v>0</v>
      </c>
      <c r="BF198" s="84">
        <f>IF($U$198="snížená",$N$198,0)</f>
        <v>0</v>
      </c>
      <c r="BG198" s="84">
        <f>IF($U$198="zákl. přenesená",$N$198,0)</f>
        <v>0</v>
      </c>
      <c r="BH198" s="84">
        <f>IF($U$198="sníž. přenesená",$N$198,0)</f>
        <v>0</v>
      </c>
      <c r="BI198" s="84">
        <f>IF($U$198="nulová",$N$198,0)</f>
        <v>0</v>
      </c>
      <c r="BJ198" s="6" t="s">
        <v>78</v>
      </c>
      <c r="BK198" s="84">
        <f>ROUND($L$198*$K$198,2)</f>
        <v>0</v>
      </c>
      <c r="BL198" s="6" t="s">
        <v>201</v>
      </c>
    </row>
    <row r="199" spans="2:64" s="6" customFormat="1" ht="15.75" customHeight="1">
      <c r="B199" s="22"/>
      <c r="C199" s="130" t="s">
        <v>283</v>
      </c>
      <c r="D199" s="130" t="s">
        <v>156</v>
      </c>
      <c r="E199" s="131" t="s">
        <v>284</v>
      </c>
      <c r="F199" s="204" t="s">
        <v>285</v>
      </c>
      <c r="G199" s="205"/>
      <c r="H199" s="205"/>
      <c r="I199" s="205"/>
      <c r="J199" s="132" t="s">
        <v>252</v>
      </c>
      <c r="K199" s="133">
        <v>22</v>
      </c>
      <c r="L199" s="206">
        <v>0</v>
      </c>
      <c r="M199" s="205"/>
      <c r="N199" s="207">
        <f>ROUND($L$199*$K$199,2)</f>
        <v>0</v>
      </c>
      <c r="O199" s="205"/>
      <c r="P199" s="205"/>
      <c r="Q199" s="205"/>
      <c r="R199" s="24"/>
      <c r="T199" s="134"/>
      <c r="U199" s="30" t="s">
        <v>36</v>
      </c>
      <c r="V199" s="135">
        <v>0.674</v>
      </c>
      <c r="W199" s="135">
        <f>$V$199*$K$199</f>
        <v>14.828000000000001</v>
      </c>
      <c r="X199" s="135">
        <v>0.00505</v>
      </c>
      <c r="Y199" s="135">
        <f>$X$199*$K$199</f>
        <v>0.11109999999999999</v>
      </c>
      <c r="Z199" s="135">
        <v>0</v>
      </c>
      <c r="AA199" s="136">
        <f>$Z$199*$K$199</f>
        <v>0</v>
      </c>
      <c r="AR199" s="6" t="s">
        <v>201</v>
      </c>
      <c r="AT199" s="6" t="s">
        <v>156</v>
      </c>
      <c r="AU199" s="6" t="s">
        <v>99</v>
      </c>
      <c r="AY199" s="6" t="s">
        <v>155</v>
      </c>
      <c r="BE199" s="84">
        <f>IF($U$199="základní",$N$199,0)</f>
        <v>0</v>
      </c>
      <c r="BF199" s="84">
        <f>IF($U$199="snížená",$N$199,0)</f>
        <v>0</v>
      </c>
      <c r="BG199" s="84">
        <f>IF($U$199="zákl. přenesená",$N$199,0)</f>
        <v>0</v>
      </c>
      <c r="BH199" s="84">
        <f>IF($U$199="sníž. přenesená",$N$199,0)</f>
        <v>0</v>
      </c>
      <c r="BI199" s="84">
        <f>IF($U$199="nulová",$N$199,0)</f>
        <v>0</v>
      </c>
      <c r="BJ199" s="6" t="s">
        <v>78</v>
      </c>
      <c r="BK199" s="84">
        <f>ROUND($L$199*$K$199,2)</f>
        <v>0</v>
      </c>
      <c r="BL199" s="6" t="s">
        <v>201</v>
      </c>
    </row>
    <row r="200" spans="2:63" s="119" customFormat="1" ht="30.75" customHeight="1">
      <c r="B200" s="120"/>
      <c r="C200" s="121"/>
      <c r="D200" s="129" t="s">
        <v>129</v>
      </c>
      <c r="E200" s="121"/>
      <c r="F200" s="121"/>
      <c r="G200" s="121"/>
      <c r="H200" s="121"/>
      <c r="I200" s="121"/>
      <c r="J200" s="121"/>
      <c r="K200" s="121"/>
      <c r="L200" s="121"/>
      <c r="M200" s="121"/>
      <c r="N200" s="201">
        <f>$BK$200</f>
        <v>0</v>
      </c>
      <c r="O200" s="202"/>
      <c r="P200" s="202"/>
      <c r="Q200" s="202"/>
      <c r="R200" s="123"/>
      <c r="T200" s="124"/>
      <c r="U200" s="121"/>
      <c r="V200" s="121"/>
      <c r="W200" s="125">
        <f>SUM($W$201:$W$204)</f>
        <v>457.04922100000005</v>
      </c>
      <c r="X200" s="121"/>
      <c r="Y200" s="125">
        <f>SUM($Y$201:$Y$204)</f>
        <v>1.22483981</v>
      </c>
      <c r="Z200" s="121"/>
      <c r="AA200" s="126">
        <f>SUM($AA$201:$AA$204)</f>
        <v>0</v>
      </c>
      <c r="AR200" s="127" t="s">
        <v>160</v>
      </c>
      <c r="AT200" s="127" t="s">
        <v>70</v>
      </c>
      <c r="AU200" s="127" t="s">
        <v>78</v>
      </c>
      <c r="AY200" s="127" t="s">
        <v>155</v>
      </c>
      <c r="BK200" s="128">
        <f>SUM($BK$201:$BK$204)</f>
        <v>0</v>
      </c>
    </row>
    <row r="201" spans="2:64" s="6" customFormat="1" ht="15.75" customHeight="1">
      <c r="B201" s="22"/>
      <c r="C201" s="130" t="s">
        <v>286</v>
      </c>
      <c r="D201" s="130" t="s">
        <v>156</v>
      </c>
      <c r="E201" s="131" t="s">
        <v>287</v>
      </c>
      <c r="F201" s="204" t="s">
        <v>288</v>
      </c>
      <c r="G201" s="205"/>
      <c r="H201" s="205"/>
      <c r="I201" s="205"/>
      <c r="J201" s="132" t="s">
        <v>159</v>
      </c>
      <c r="K201" s="133">
        <v>1294.757</v>
      </c>
      <c r="L201" s="206">
        <v>0</v>
      </c>
      <c r="M201" s="205"/>
      <c r="N201" s="207">
        <f>ROUND($L$201*$K$201,2)</f>
        <v>0</v>
      </c>
      <c r="O201" s="205"/>
      <c r="P201" s="205"/>
      <c r="Q201" s="205"/>
      <c r="R201" s="24"/>
      <c r="T201" s="134"/>
      <c r="U201" s="30" t="s">
        <v>36</v>
      </c>
      <c r="V201" s="135">
        <v>0.14</v>
      </c>
      <c r="W201" s="135">
        <f>$V$201*$K$201</f>
        <v>181.26598</v>
      </c>
      <c r="X201" s="135">
        <v>0</v>
      </c>
      <c r="Y201" s="135">
        <f>$X$201*$K$201</f>
        <v>0</v>
      </c>
      <c r="Z201" s="135">
        <v>0</v>
      </c>
      <c r="AA201" s="136">
        <f>$Z$201*$K$201</f>
        <v>0</v>
      </c>
      <c r="AR201" s="6" t="s">
        <v>160</v>
      </c>
      <c r="AT201" s="6" t="s">
        <v>156</v>
      </c>
      <c r="AU201" s="6" t="s">
        <v>99</v>
      </c>
      <c r="AY201" s="6" t="s">
        <v>155</v>
      </c>
      <c r="BE201" s="84">
        <f>IF($U$201="základní",$N$201,0)</f>
        <v>0</v>
      </c>
      <c r="BF201" s="84">
        <f>IF($U$201="snížená",$N$201,0)</f>
        <v>0</v>
      </c>
      <c r="BG201" s="84">
        <f>IF($U$201="zákl. přenesená",$N$201,0)</f>
        <v>0</v>
      </c>
      <c r="BH201" s="84">
        <f>IF($U$201="sníž. přenesená",$N$201,0)</f>
        <v>0</v>
      </c>
      <c r="BI201" s="84">
        <f>IF($U$201="nulová",$N$201,0)</f>
        <v>0</v>
      </c>
      <c r="BJ201" s="6" t="s">
        <v>78</v>
      </c>
      <c r="BK201" s="84">
        <f>ROUND($L$201*$K$201,2)</f>
        <v>0</v>
      </c>
      <c r="BL201" s="6" t="s">
        <v>160</v>
      </c>
    </row>
    <row r="202" spans="2:64" s="6" customFormat="1" ht="15.75" customHeight="1">
      <c r="B202" s="22"/>
      <c r="C202" s="130" t="s">
        <v>289</v>
      </c>
      <c r="D202" s="130" t="s">
        <v>156</v>
      </c>
      <c r="E202" s="131" t="s">
        <v>290</v>
      </c>
      <c r="F202" s="204" t="s">
        <v>291</v>
      </c>
      <c r="G202" s="205"/>
      <c r="H202" s="205"/>
      <c r="I202" s="205"/>
      <c r="J202" s="132" t="s">
        <v>159</v>
      </c>
      <c r="K202" s="160">
        <v>1294.757</v>
      </c>
      <c r="L202" s="206">
        <v>0</v>
      </c>
      <c r="M202" s="205"/>
      <c r="N202" s="207">
        <f>ROUND($L$202*$K$202,2)</f>
        <v>0</v>
      </c>
      <c r="O202" s="205"/>
      <c r="P202" s="205"/>
      <c r="Q202" s="205"/>
      <c r="R202" s="24"/>
      <c r="T202" s="134"/>
      <c r="U202" s="30" t="s">
        <v>36</v>
      </c>
      <c r="V202" s="135">
        <v>0.063</v>
      </c>
      <c r="W202" s="135">
        <f>$V$202*$K$202</f>
        <v>81.569691</v>
      </c>
      <c r="X202" s="135">
        <v>5E-05</v>
      </c>
      <c r="Y202" s="135">
        <f>$X$202*$K$202</f>
        <v>0.06473785</v>
      </c>
      <c r="Z202" s="135">
        <v>0</v>
      </c>
      <c r="AA202" s="136">
        <f>$Z$202*$K$202</f>
        <v>0</v>
      </c>
      <c r="AR202" s="6" t="s">
        <v>201</v>
      </c>
      <c r="AT202" s="6" t="s">
        <v>156</v>
      </c>
      <c r="AU202" s="6" t="s">
        <v>99</v>
      </c>
      <c r="AY202" s="6" t="s">
        <v>155</v>
      </c>
      <c r="BE202" s="84">
        <f>IF($U$202="základní",$N$202,0)</f>
        <v>0</v>
      </c>
      <c r="BF202" s="84">
        <f>IF($U$202="snížená",$N$202,0)</f>
        <v>0</v>
      </c>
      <c r="BG202" s="84">
        <f>IF($U$202="zákl. přenesená",$N$202,0)</f>
        <v>0</v>
      </c>
      <c r="BH202" s="84">
        <f>IF($U$202="sníž. přenesená",$N$202,0)</f>
        <v>0</v>
      </c>
      <c r="BI202" s="84">
        <f>IF($U$202="nulová",$N$202,0)</f>
        <v>0</v>
      </c>
      <c r="BJ202" s="6" t="s">
        <v>78</v>
      </c>
      <c r="BK202" s="84">
        <f>ROUND($L$202*$K$202,2)</f>
        <v>0</v>
      </c>
      <c r="BL202" s="6" t="s">
        <v>201</v>
      </c>
    </row>
    <row r="203" spans="2:64" s="6" customFormat="1" ht="27" customHeight="1">
      <c r="B203" s="22"/>
      <c r="C203" s="130" t="s">
        <v>292</v>
      </c>
      <c r="D203" s="130" t="s">
        <v>156</v>
      </c>
      <c r="E203" s="131" t="s">
        <v>293</v>
      </c>
      <c r="F203" s="204" t="s">
        <v>294</v>
      </c>
      <c r="G203" s="205"/>
      <c r="H203" s="205"/>
      <c r="I203" s="205"/>
      <c r="J203" s="132" t="s">
        <v>159</v>
      </c>
      <c r="K203" s="160">
        <v>1294.757</v>
      </c>
      <c r="L203" s="206">
        <v>0</v>
      </c>
      <c r="M203" s="205"/>
      <c r="N203" s="207">
        <f>ROUND($L$203*$K$203,2)</f>
        <v>0</v>
      </c>
      <c r="O203" s="205"/>
      <c r="P203" s="205"/>
      <c r="Q203" s="205"/>
      <c r="R203" s="24"/>
      <c r="T203" s="134"/>
      <c r="U203" s="30" t="s">
        <v>36</v>
      </c>
      <c r="V203" s="135">
        <v>0.15</v>
      </c>
      <c r="W203" s="135">
        <f>$V$203*$K$203</f>
        <v>194.21355</v>
      </c>
      <c r="X203" s="135">
        <v>0.00048</v>
      </c>
      <c r="Y203" s="135">
        <f>$X$203*$K$203</f>
        <v>0.62148336</v>
      </c>
      <c r="Z203" s="135">
        <v>0</v>
      </c>
      <c r="AA203" s="136">
        <f>$Z$203*$K$203</f>
        <v>0</v>
      </c>
      <c r="AR203" s="6" t="s">
        <v>201</v>
      </c>
      <c r="AT203" s="6" t="s">
        <v>156</v>
      </c>
      <c r="AU203" s="6" t="s">
        <v>99</v>
      </c>
      <c r="AY203" s="6" t="s">
        <v>155</v>
      </c>
      <c r="BE203" s="84">
        <f>IF($U$203="základní",$N$203,0)</f>
        <v>0</v>
      </c>
      <c r="BF203" s="84">
        <f>IF($U$203="snížená",$N$203,0)</f>
        <v>0</v>
      </c>
      <c r="BG203" s="84">
        <f>IF($U$203="zákl. přenesená",$N$203,0)</f>
        <v>0</v>
      </c>
      <c r="BH203" s="84">
        <f>IF($U$203="sníž. přenesená",$N$203,0)</f>
        <v>0</v>
      </c>
      <c r="BI203" s="84">
        <f>IF($U$203="nulová",$N$203,0)</f>
        <v>0</v>
      </c>
      <c r="BJ203" s="6" t="s">
        <v>78</v>
      </c>
      <c r="BK203" s="84">
        <f>ROUND($L$203*$K$203,2)</f>
        <v>0</v>
      </c>
      <c r="BL203" s="6" t="s">
        <v>201</v>
      </c>
    </row>
    <row r="204" spans="2:64" s="6" customFormat="1" ht="27" customHeight="1">
      <c r="B204" s="22"/>
      <c r="C204" s="146" t="s">
        <v>295</v>
      </c>
      <c r="D204" s="146" t="s">
        <v>212</v>
      </c>
      <c r="E204" s="147" t="s">
        <v>296</v>
      </c>
      <c r="F204" s="213" t="s">
        <v>297</v>
      </c>
      <c r="G204" s="214"/>
      <c r="H204" s="214"/>
      <c r="I204" s="214"/>
      <c r="J204" s="148" t="s">
        <v>298</v>
      </c>
      <c r="K204" s="149">
        <v>414.322</v>
      </c>
      <c r="L204" s="215">
        <v>0</v>
      </c>
      <c r="M204" s="214"/>
      <c r="N204" s="216">
        <f>ROUND($L$204*$K$204,2)</f>
        <v>0</v>
      </c>
      <c r="O204" s="205"/>
      <c r="P204" s="205"/>
      <c r="Q204" s="205"/>
      <c r="R204" s="24"/>
      <c r="T204" s="134"/>
      <c r="U204" s="30" t="s">
        <v>36</v>
      </c>
      <c r="V204" s="135">
        <v>0</v>
      </c>
      <c r="W204" s="135">
        <f>$V$204*$K$204</f>
        <v>0</v>
      </c>
      <c r="X204" s="135">
        <v>0.0013</v>
      </c>
      <c r="Y204" s="135">
        <f>$X$204*$K$204</f>
        <v>0.5386186</v>
      </c>
      <c r="Z204" s="135">
        <v>0</v>
      </c>
      <c r="AA204" s="136">
        <f>$Z$204*$K$204</f>
        <v>0</v>
      </c>
      <c r="AR204" s="6" t="s">
        <v>215</v>
      </c>
      <c r="AT204" s="6" t="s">
        <v>212</v>
      </c>
      <c r="AU204" s="6" t="s">
        <v>99</v>
      </c>
      <c r="AY204" s="6" t="s">
        <v>155</v>
      </c>
      <c r="BE204" s="84">
        <f>IF($U$204="základní",$N$204,0)</f>
        <v>0</v>
      </c>
      <c r="BF204" s="84">
        <f>IF($U$204="snížená",$N$204,0)</f>
        <v>0</v>
      </c>
      <c r="BG204" s="84">
        <f>IF($U$204="zákl. přenesená",$N$204,0)</f>
        <v>0</v>
      </c>
      <c r="BH204" s="84">
        <f>IF($U$204="sníž. přenesená",$N$204,0)</f>
        <v>0</v>
      </c>
      <c r="BI204" s="84">
        <f>IF($U$204="nulová",$N$204,0)</f>
        <v>0</v>
      </c>
      <c r="BJ204" s="6" t="s">
        <v>78</v>
      </c>
      <c r="BK204" s="84">
        <f>ROUND($L$204*$K$204,2)</f>
        <v>0</v>
      </c>
      <c r="BL204" s="6" t="s">
        <v>201</v>
      </c>
    </row>
    <row r="205" spans="2:63" s="6" customFormat="1" ht="51" customHeight="1">
      <c r="B205" s="22"/>
      <c r="C205" s="23"/>
      <c r="D205" s="122" t="s">
        <v>299</v>
      </c>
      <c r="E205" s="23"/>
      <c r="F205" s="23"/>
      <c r="G205" s="23"/>
      <c r="H205" s="23"/>
      <c r="I205" s="23"/>
      <c r="J205" s="23"/>
      <c r="K205" s="23"/>
      <c r="L205" s="23"/>
      <c r="M205" s="23"/>
      <c r="N205" s="203">
        <f>$BK$205</f>
        <v>0</v>
      </c>
      <c r="O205" s="166"/>
      <c r="P205" s="166"/>
      <c r="Q205" s="166"/>
      <c r="R205" s="24"/>
      <c r="T205" s="59"/>
      <c r="U205" s="23"/>
      <c r="V205" s="23"/>
      <c r="W205" s="23"/>
      <c r="X205" s="23"/>
      <c r="Y205" s="23"/>
      <c r="Z205" s="23"/>
      <c r="AA205" s="60"/>
      <c r="AT205" s="6" t="s">
        <v>70</v>
      </c>
      <c r="AU205" s="6" t="s">
        <v>71</v>
      </c>
      <c r="AY205" s="6" t="s">
        <v>300</v>
      </c>
      <c r="BK205" s="84">
        <f>SUM($BK$206:$BK$210)</f>
        <v>0</v>
      </c>
    </row>
    <row r="206" spans="2:63" s="6" customFormat="1" ht="23.25" customHeight="1">
      <c r="B206" s="22"/>
      <c r="C206" s="150"/>
      <c r="D206" s="150" t="s">
        <v>156</v>
      </c>
      <c r="E206" s="151"/>
      <c r="F206" s="208"/>
      <c r="G206" s="209"/>
      <c r="H206" s="209"/>
      <c r="I206" s="209"/>
      <c r="J206" s="152"/>
      <c r="K206" s="133"/>
      <c r="L206" s="206"/>
      <c r="M206" s="205"/>
      <c r="N206" s="207">
        <f>$BK$206</f>
        <v>0</v>
      </c>
      <c r="O206" s="205"/>
      <c r="P206" s="205"/>
      <c r="Q206" s="205"/>
      <c r="R206" s="24"/>
      <c r="T206" s="134"/>
      <c r="U206" s="153" t="s">
        <v>36</v>
      </c>
      <c r="V206" s="23"/>
      <c r="W206" s="23"/>
      <c r="X206" s="23"/>
      <c r="Y206" s="23"/>
      <c r="Z206" s="23"/>
      <c r="AA206" s="60"/>
      <c r="AT206" s="6" t="s">
        <v>300</v>
      </c>
      <c r="AU206" s="6" t="s">
        <v>78</v>
      </c>
      <c r="AY206" s="6" t="s">
        <v>300</v>
      </c>
      <c r="BE206" s="84">
        <f>IF($U$206="základní",$N$206,0)</f>
        <v>0</v>
      </c>
      <c r="BF206" s="84">
        <f>IF($U$206="snížená",$N$206,0)</f>
        <v>0</v>
      </c>
      <c r="BG206" s="84">
        <f>IF($U$206="zákl. přenesená",$N$206,0)</f>
        <v>0</v>
      </c>
      <c r="BH206" s="84">
        <f>IF($U$206="sníž. přenesená",$N$206,0)</f>
        <v>0</v>
      </c>
      <c r="BI206" s="84">
        <f>IF($U$206="nulová",$N$206,0)</f>
        <v>0</v>
      </c>
      <c r="BJ206" s="6" t="s">
        <v>78</v>
      </c>
      <c r="BK206" s="84">
        <f>$L$206*$K$206</f>
        <v>0</v>
      </c>
    </row>
    <row r="207" spans="2:63" s="6" customFormat="1" ht="23.25" customHeight="1">
      <c r="B207" s="22"/>
      <c r="C207" s="150"/>
      <c r="D207" s="150" t="s">
        <v>156</v>
      </c>
      <c r="E207" s="151"/>
      <c r="F207" s="208"/>
      <c r="G207" s="209"/>
      <c r="H207" s="209"/>
      <c r="I207" s="209"/>
      <c r="J207" s="152"/>
      <c r="K207" s="133"/>
      <c r="L207" s="206"/>
      <c r="M207" s="205"/>
      <c r="N207" s="207">
        <f>$BK$207</f>
        <v>0</v>
      </c>
      <c r="O207" s="205"/>
      <c r="P207" s="205"/>
      <c r="Q207" s="205"/>
      <c r="R207" s="24"/>
      <c r="T207" s="134"/>
      <c r="U207" s="153" t="s">
        <v>36</v>
      </c>
      <c r="V207" s="23"/>
      <c r="W207" s="23"/>
      <c r="X207" s="23"/>
      <c r="Y207" s="23"/>
      <c r="Z207" s="23"/>
      <c r="AA207" s="60"/>
      <c r="AT207" s="6" t="s">
        <v>300</v>
      </c>
      <c r="AU207" s="6" t="s">
        <v>78</v>
      </c>
      <c r="AY207" s="6" t="s">
        <v>300</v>
      </c>
      <c r="BE207" s="84">
        <f>IF($U$207="základní",$N$207,0)</f>
        <v>0</v>
      </c>
      <c r="BF207" s="84">
        <f>IF($U$207="snížená",$N$207,0)</f>
        <v>0</v>
      </c>
      <c r="BG207" s="84">
        <f>IF($U$207="zákl. přenesená",$N$207,0)</f>
        <v>0</v>
      </c>
      <c r="BH207" s="84">
        <f>IF($U$207="sníž. přenesená",$N$207,0)</f>
        <v>0</v>
      </c>
      <c r="BI207" s="84">
        <f>IF($U$207="nulová",$N$207,0)</f>
        <v>0</v>
      </c>
      <c r="BJ207" s="6" t="s">
        <v>78</v>
      </c>
      <c r="BK207" s="84">
        <f>$L$207*$K$207</f>
        <v>0</v>
      </c>
    </row>
    <row r="208" spans="2:63" s="6" customFormat="1" ht="23.25" customHeight="1">
      <c r="B208" s="22"/>
      <c r="C208" s="150"/>
      <c r="D208" s="150" t="s">
        <v>156</v>
      </c>
      <c r="E208" s="151"/>
      <c r="F208" s="208"/>
      <c r="G208" s="209"/>
      <c r="H208" s="209"/>
      <c r="I208" s="209"/>
      <c r="J208" s="152"/>
      <c r="K208" s="133"/>
      <c r="L208" s="206"/>
      <c r="M208" s="205"/>
      <c r="N208" s="207">
        <f>$BK$208</f>
        <v>0</v>
      </c>
      <c r="O208" s="205"/>
      <c r="P208" s="205"/>
      <c r="Q208" s="205"/>
      <c r="R208" s="24"/>
      <c r="T208" s="134"/>
      <c r="U208" s="153" t="s">
        <v>36</v>
      </c>
      <c r="V208" s="23"/>
      <c r="W208" s="23"/>
      <c r="X208" s="23"/>
      <c r="Y208" s="23"/>
      <c r="Z208" s="23"/>
      <c r="AA208" s="60"/>
      <c r="AT208" s="6" t="s">
        <v>300</v>
      </c>
      <c r="AU208" s="6" t="s">
        <v>78</v>
      </c>
      <c r="AY208" s="6" t="s">
        <v>300</v>
      </c>
      <c r="BE208" s="84">
        <f>IF($U$208="základní",$N$208,0)</f>
        <v>0</v>
      </c>
      <c r="BF208" s="84">
        <f>IF($U$208="snížená",$N$208,0)</f>
        <v>0</v>
      </c>
      <c r="BG208" s="84">
        <f>IF($U$208="zákl. přenesená",$N$208,0)</f>
        <v>0</v>
      </c>
      <c r="BH208" s="84">
        <f>IF($U$208="sníž. přenesená",$N$208,0)</f>
        <v>0</v>
      </c>
      <c r="BI208" s="84">
        <f>IF($U$208="nulová",$N$208,0)</f>
        <v>0</v>
      </c>
      <c r="BJ208" s="6" t="s">
        <v>78</v>
      </c>
      <c r="BK208" s="84">
        <f>$L$208*$K$208</f>
        <v>0</v>
      </c>
    </row>
    <row r="209" spans="2:63" s="6" customFormat="1" ht="23.25" customHeight="1">
      <c r="B209" s="22"/>
      <c r="C209" s="150"/>
      <c r="D209" s="150" t="s">
        <v>156</v>
      </c>
      <c r="E209" s="151"/>
      <c r="F209" s="208"/>
      <c r="G209" s="209"/>
      <c r="H209" s="209"/>
      <c r="I209" s="209"/>
      <c r="J209" s="152"/>
      <c r="K209" s="133"/>
      <c r="L209" s="206"/>
      <c r="M209" s="205"/>
      <c r="N209" s="207">
        <f>$BK$209</f>
        <v>0</v>
      </c>
      <c r="O209" s="205"/>
      <c r="P209" s="205"/>
      <c r="Q209" s="205"/>
      <c r="R209" s="24"/>
      <c r="T209" s="134"/>
      <c r="U209" s="153" t="s">
        <v>36</v>
      </c>
      <c r="V209" s="23"/>
      <c r="W209" s="23"/>
      <c r="X209" s="23"/>
      <c r="Y209" s="23"/>
      <c r="Z209" s="23"/>
      <c r="AA209" s="60"/>
      <c r="AT209" s="6" t="s">
        <v>300</v>
      </c>
      <c r="AU209" s="6" t="s">
        <v>78</v>
      </c>
      <c r="AY209" s="6" t="s">
        <v>300</v>
      </c>
      <c r="BE209" s="84">
        <f>IF($U$209="základní",$N$209,0)</f>
        <v>0</v>
      </c>
      <c r="BF209" s="84">
        <f>IF($U$209="snížená",$N$209,0)</f>
        <v>0</v>
      </c>
      <c r="BG209" s="84">
        <f>IF($U$209="zákl. přenesená",$N$209,0)</f>
        <v>0</v>
      </c>
      <c r="BH209" s="84">
        <f>IF($U$209="sníž. přenesená",$N$209,0)</f>
        <v>0</v>
      </c>
      <c r="BI209" s="84">
        <f>IF($U$209="nulová",$N$209,0)</f>
        <v>0</v>
      </c>
      <c r="BJ209" s="6" t="s">
        <v>78</v>
      </c>
      <c r="BK209" s="84">
        <f>$L$209*$K$209</f>
        <v>0</v>
      </c>
    </row>
    <row r="210" spans="2:63" s="6" customFormat="1" ht="23.25" customHeight="1">
      <c r="B210" s="22"/>
      <c r="C210" s="150"/>
      <c r="D210" s="150" t="s">
        <v>156</v>
      </c>
      <c r="E210" s="151"/>
      <c r="F210" s="208"/>
      <c r="G210" s="209"/>
      <c r="H210" s="209"/>
      <c r="I210" s="209"/>
      <c r="J210" s="152"/>
      <c r="K210" s="133"/>
      <c r="L210" s="206"/>
      <c r="M210" s="205"/>
      <c r="N210" s="207">
        <f>$BK$210</f>
        <v>0</v>
      </c>
      <c r="O210" s="205"/>
      <c r="P210" s="205"/>
      <c r="Q210" s="205"/>
      <c r="R210" s="24"/>
      <c r="T210" s="134"/>
      <c r="U210" s="153" t="s">
        <v>36</v>
      </c>
      <c r="V210" s="42"/>
      <c r="W210" s="42"/>
      <c r="X210" s="42"/>
      <c r="Y210" s="42"/>
      <c r="Z210" s="42"/>
      <c r="AA210" s="44"/>
      <c r="AT210" s="6" t="s">
        <v>300</v>
      </c>
      <c r="AU210" s="6" t="s">
        <v>78</v>
      </c>
      <c r="AY210" s="6" t="s">
        <v>300</v>
      </c>
      <c r="BE210" s="84">
        <f>IF($U$210="základní",$N$210,0)</f>
        <v>0</v>
      </c>
      <c r="BF210" s="84">
        <f>IF($U$210="snížená",$N$210,0)</f>
        <v>0</v>
      </c>
      <c r="BG210" s="84">
        <f>IF($U$210="zákl. přenesená",$N$210,0)</f>
        <v>0</v>
      </c>
      <c r="BH210" s="84">
        <f>IF($U$210="sníž. přenesená",$N$210,0)</f>
        <v>0</v>
      </c>
      <c r="BI210" s="84">
        <f>IF($U$210="nulová",$N$210,0)</f>
        <v>0</v>
      </c>
      <c r="BJ210" s="6" t="s">
        <v>78</v>
      </c>
      <c r="BK210" s="84">
        <f>$L$210*$K$210</f>
        <v>0</v>
      </c>
    </row>
    <row r="211" spans="2:18" s="6" customFormat="1" ht="7.5" customHeight="1">
      <c r="B211" s="45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7"/>
    </row>
    <row r="212" s="2" customFormat="1" ht="14.25" customHeight="1"/>
  </sheetData>
  <sheetProtection password="CC35" sheet="1" objects="1" scenarios="1" formatColumns="0" formatRows="0" sort="0" autoFilter="0"/>
  <mergeCells count="259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M24:P24"/>
    <mergeCell ref="M25:P25"/>
    <mergeCell ref="M27:P27"/>
    <mergeCell ref="H29:J29"/>
    <mergeCell ref="M29:P29"/>
    <mergeCell ref="H30:J30"/>
    <mergeCell ref="M30:P30"/>
    <mergeCell ref="H31:J31"/>
    <mergeCell ref="M31:P31"/>
    <mergeCell ref="H32:J32"/>
    <mergeCell ref="M32:P32"/>
    <mergeCell ref="H33:J33"/>
    <mergeCell ref="M33:P33"/>
    <mergeCell ref="L35:P3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2:Q112"/>
    <mergeCell ref="D113:H113"/>
    <mergeCell ref="N113:Q113"/>
    <mergeCell ref="D114:H114"/>
    <mergeCell ref="N114:Q114"/>
    <mergeCell ref="D115:H115"/>
    <mergeCell ref="N115:Q115"/>
    <mergeCell ref="D116:H116"/>
    <mergeCell ref="N116:Q116"/>
    <mergeCell ref="D117:H117"/>
    <mergeCell ref="N117:Q117"/>
    <mergeCell ref="N118:Q118"/>
    <mergeCell ref="L120:Q120"/>
    <mergeCell ref="C126:Q126"/>
    <mergeCell ref="F128:P128"/>
    <mergeCell ref="F129:P129"/>
    <mergeCell ref="M131:P131"/>
    <mergeCell ref="M133:Q133"/>
    <mergeCell ref="M134:Q134"/>
    <mergeCell ref="F136:I136"/>
    <mergeCell ref="L136:M136"/>
    <mergeCell ref="N136:Q136"/>
    <mergeCell ref="F140:I140"/>
    <mergeCell ref="L140:M140"/>
    <mergeCell ref="N140:Q140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4:I154"/>
    <mergeCell ref="L154:M154"/>
    <mergeCell ref="N154:Q154"/>
    <mergeCell ref="N153:Q153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2:I162"/>
    <mergeCell ref="L162:M162"/>
    <mergeCell ref="N162:Q162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9:I169"/>
    <mergeCell ref="L169:M169"/>
    <mergeCell ref="N169:Q169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9:I179"/>
    <mergeCell ref="L179:M179"/>
    <mergeCell ref="N179:Q179"/>
    <mergeCell ref="N178:Q178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6:I186"/>
    <mergeCell ref="L186:M186"/>
    <mergeCell ref="N186:Q186"/>
    <mergeCell ref="N185:Q185"/>
    <mergeCell ref="F187:I187"/>
    <mergeCell ref="L187:M187"/>
    <mergeCell ref="N187:Q187"/>
    <mergeCell ref="F189:I189"/>
    <mergeCell ref="L189:M189"/>
    <mergeCell ref="N189:Q189"/>
    <mergeCell ref="N188:Q188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N137:Q137"/>
    <mergeCell ref="N138:Q138"/>
    <mergeCell ref="N139:Q139"/>
    <mergeCell ref="N141:Q141"/>
    <mergeCell ref="N142:Q142"/>
    <mergeCell ref="N143:Q143"/>
    <mergeCell ref="N147:Q147"/>
    <mergeCell ref="N200:Q200"/>
    <mergeCell ref="N205:Q205"/>
    <mergeCell ref="N161:Q161"/>
    <mergeCell ref="N163:Q163"/>
    <mergeCell ref="N164:Q164"/>
    <mergeCell ref="N168:Q168"/>
    <mergeCell ref="N170:Q170"/>
    <mergeCell ref="N171:Q171"/>
    <mergeCell ref="N191:Q191"/>
    <mergeCell ref="N194:Q194"/>
    <mergeCell ref="H1:K1"/>
    <mergeCell ref="S2:AC2"/>
    <mergeCell ref="N190:Q190"/>
    <mergeCell ref="N192:Q192"/>
    <mergeCell ref="N193:Q193"/>
    <mergeCell ref="N195:Q195"/>
    <mergeCell ref="F191:I191"/>
    <mergeCell ref="L191:M191"/>
    <mergeCell ref="F194:I194"/>
    <mergeCell ref="L194:M194"/>
  </mergeCells>
  <dataValidations count="2">
    <dataValidation type="list" allowBlank="1" showInputMessage="1" showErrorMessage="1" error="Povoleny jsou hodnoty K a M." sqref="D206:D211">
      <formula1>"K,M"</formula1>
    </dataValidation>
    <dataValidation type="list" allowBlank="1" showInputMessage="1" showErrorMessage="1" error="Povoleny jsou hodnoty základní, snížená, zákl. přenesená, sníž. přenesená, nulová." sqref="U206:U211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36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8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Bc. Pavel Maškarinec - STORING s.r.o. </cp:lastModifiedBy>
  <cp:lastPrinted>2013-05-15T10:28:46Z</cp:lastPrinted>
  <dcterms:created xsi:type="dcterms:W3CDTF">2013-05-15T10:33:19Z</dcterms:created>
  <dcterms:modified xsi:type="dcterms:W3CDTF">2013-08-16T08:20:44Z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